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E94C675-5EA5-46E9-AC0D-310AA5D07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</sheets>
  <definedNames>
    <definedName name="_xlnm.Print_Area" localSheetId="1">' Račun prihoda i rashoda'!$B$2:$K$158</definedName>
    <definedName name="_xlnm.Print_Area" localSheetId="0">SAŽETAK!$B$1:$J$27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7" i="8"/>
  <c r="G6" i="8"/>
  <c r="H77" i="5"/>
  <c r="H41" i="5"/>
  <c r="H42" i="5"/>
  <c r="H43" i="5"/>
  <c r="H45" i="5"/>
  <c r="H46" i="5"/>
  <c r="H47" i="5"/>
  <c r="H48" i="5"/>
  <c r="H49" i="5"/>
  <c r="H50" i="5"/>
  <c r="H51" i="5"/>
  <c r="H52" i="5"/>
  <c r="H53" i="5"/>
  <c r="H54" i="5"/>
  <c r="H55" i="5"/>
  <c r="H58" i="5"/>
  <c r="H59" i="5"/>
  <c r="H60" i="5"/>
  <c r="H61" i="5"/>
  <c r="H63" i="5"/>
  <c r="H68" i="5"/>
  <c r="H69" i="5"/>
  <c r="H70" i="5"/>
  <c r="H71" i="5"/>
  <c r="H72" i="5"/>
  <c r="H73" i="5"/>
  <c r="H74" i="5"/>
  <c r="H75" i="5"/>
  <c r="H76" i="5"/>
  <c r="H38" i="5"/>
  <c r="H40" i="5"/>
  <c r="H39" i="5"/>
  <c r="H29" i="5"/>
  <c r="H30" i="5"/>
  <c r="H31" i="5"/>
  <c r="H32" i="5"/>
  <c r="H34" i="5"/>
  <c r="H8" i="5"/>
  <c r="H10" i="5"/>
  <c r="H11" i="5"/>
  <c r="H13" i="5"/>
  <c r="H15" i="5"/>
  <c r="H19" i="5"/>
  <c r="H21" i="5"/>
  <c r="H22" i="5"/>
  <c r="H7" i="5"/>
  <c r="H6" i="5"/>
  <c r="K150" i="3"/>
  <c r="K57" i="3"/>
  <c r="K58" i="3"/>
  <c r="K59" i="3"/>
  <c r="K60" i="3"/>
  <c r="K61" i="3"/>
  <c r="K62" i="3"/>
  <c r="K64" i="3"/>
  <c r="K65" i="3"/>
  <c r="K66" i="3"/>
  <c r="K67" i="3"/>
  <c r="K68" i="3"/>
  <c r="K69" i="3"/>
  <c r="K71" i="3"/>
  <c r="K72" i="3"/>
  <c r="K73" i="3"/>
  <c r="K74" i="3"/>
  <c r="K75" i="3"/>
  <c r="K76" i="3"/>
  <c r="K77" i="3"/>
  <c r="K79" i="3"/>
  <c r="K80" i="3"/>
  <c r="K81" i="3"/>
  <c r="K82" i="3"/>
  <c r="K83" i="3"/>
  <c r="K84" i="3"/>
  <c r="K85" i="3"/>
  <c r="K86" i="3"/>
  <c r="K87" i="3"/>
  <c r="K88" i="3"/>
  <c r="K93" i="3"/>
  <c r="K94" i="3"/>
  <c r="K95" i="3"/>
  <c r="K96" i="3"/>
  <c r="K97" i="3"/>
  <c r="K99" i="3"/>
  <c r="K101" i="3"/>
  <c r="K103" i="3"/>
  <c r="K115" i="3"/>
  <c r="K116" i="3"/>
  <c r="K117" i="3"/>
  <c r="K119" i="3"/>
  <c r="K120" i="3"/>
  <c r="K121" i="3"/>
  <c r="K124" i="3"/>
  <c r="K125" i="3"/>
  <c r="K126" i="3"/>
  <c r="K135" i="3"/>
  <c r="K136" i="3"/>
  <c r="K137" i="3"/>
  <c r="K138" i="3"/>
  <c r="K140" i="3"/>
  <c r="K144" i="3"/>
  <c r="K145" i="3"/>
  <c r="K146" i="3"/>
  <c r="K147" i="3"/>
  <c r="K148" i="3"/>
  <c r="K149" i="3"/>
  <c r="K151" i="3"/>
  <c r="K152" i="3"/>
  <c r="K153" i="3"/>
  <c r="K154" i="3"/>
  <c r="K156" i="3"/>
  <c r="K157" i="3"/>
  <c r="K158" i="3"/>
  <c r="K56" i="3"/>
  <c r="K55" i="3"/>
  <c r="K54" i="3"/>
  <c r="K53" i="3"/>
  <c r="H60" i="3"/>
  <c r="J19" i="3"/>
  <c r="K18" i="3"/>
  <c r="K13" i="3"/>
  <c r="K19" i="3"/>
  <c r="K20" i="3"/>
  <c r="K21" i="3"/>
  <c r="K22" i="3"/>
  <c r="K23" i="3"/>
  <c r="K35" i="3"/>
  <c r="K36" i="3"/>
  <c r="K37" i="3"/>
  <c r="K38" i="3"/>
  <c r="K40" i="3"/>
  <c r="K41" i="3"/>
  <c r="K42" i="3"/>
  <c r="K43" i="3"/>
  <c r="K12" i="3"/>
  <c r="K11" i="3"/>
  <c r="K10" i="3"/>
  <c r="K10" i="1"/>
  <c r="J10" i="1"/>
  <c r="K12" i="1"/>
  <c r="K13" i="1"/>
  <c r="K14" i="1"/>
  <c r="K15" i="1"/>
  <c r="F59" i="5"/>
  <c r="F19" i="5"/>
  <c r="F7" i="5" s="1"/>
  <c r="E19" i="5"/>
  <c r="I128" i="3"/>
  <c r="I129" i="3"/>
  <c r="H65" i="3"/>
  <c r="I119" i="3"/>
  <c r="E70" i="5" l="1"/>
  <c r="E68" i="5" s="1"/>
  <c r="D58" i="5" l="1"/>
  <c r="F75" i="5"/>
  <c r="F73" i="5"/>
  <c r="F72" i="5"/>
  <c r="G64" i="5"/>
  <c r="D64" i="5"/>
  <c r="D65" i="5"/>
  <c r="G65" i="5" s="1"/>
  <c r="G59" i="5"/>
  <c r="F54" i="5"/>
  <c r="F52" i="5" s="1"/>
  <c r="F50" i="5"/>
  <c r="G50" i="5" s="1"/>
  <c r="F51" i="5"/>
  <c r="G51" i="5" s="1"/>
  <c r="F49" i="5"/>
  <c r="G49" i="5" s="1"/>
  <c r="F48" i="5"/>
  <c r="G48" i="5" s="1"/>
  <c r="F47" i="5"/>
  <c r="G47" i="5" s="1"/>
  <c r="F61" i="5"/>
  <c r="F71" i="5"/>
  <c r="F46" i="5"/>
  <c r="G46" i="5" s="1"/>
  <c r="F40" i="5"/>
  <c r="G69" i="5"/>
  <c r="G73" i="5"/>
  <c r="D72" i="5"/>
  <c r="G72" i="5" s="1"/>
  <c r="D71" i="5"/>
  <c r="D57" i="5"/>
  <c r="G57" i="5" s="1"/>
  <c r="D56" i="5"/>
  <c r="G56" i="5" s="1"/>
  <c r="G60" i="5"/>
  <c r="D55" i="5"/>
  <c r="G55" i="5" s="1"/>
  <c r="D54" i="5"/>
  <c r="D53" i="5"/>
  <c r="G53" i="5" s="1"/>
  <c r="D42" i="5"/>
  <c r="D40" i="5"/>
  <c r="G9" i="5"/>
  <c r="G15" i="5"/>
  <c r="G17" i="5"/>
  <c r="G20" i="5"/>
  <c r="G21" i="5"/>
  <c r="G22" i="5"/>
  <c r="G24" i="5"/>
  <c r="G25" i="5"/>
  <c r="G27" i="5"/>
  <c r="G30" i="5"/>
  <c r="G33" i="5"/>
  <c r="G34" i="5"/>
  <c r="E29" i="5"/>
  <c r="D26" i="5"/>
  <c r="D10" i="5"/>
  <c r="D7" i="5" s="1"/>
  <c r="F43" i="5"/>
  <c r="G43" i="5" s="1"/>
  <c r="F42" i="5"/>
  <c r="F44" i="5"/>
  <c r="F41" i="5"/>
  <c r="G41" i="5" s="1"/>
  <c r="G29" i="5"/>
  <c r="F13" i="8"/>
  <c r="F14" i="8"/>
  <c r="F15" i="8"/>
  <c r="F16" i="8"/>
  <c r="F17" i="8"/>
  <c r="F18" i="8"/>
  <c r="F19" i="8"/>
  <c r="F20" i="8"/>
  <c r="F21" i="8"/>
  <c r="F22" i="8"/>
  <c r="F23" i="8"/>
  <c r="F12" i="8"/>
  <c r="F11" i="8"/>
  <c r="F10" i="8"/>
  <c r="F7" i="8"/>
  <c r="C15" i="8"/>
  <c r="C7" i="8"/>
  <c r="F6" i="8"/>
  <c r="E58" i="5"/>
  <c r="E52" i="5"/>
  <c r="E45" i="5"/>
  <c r="E39" i="5"/>
  <c r="G6" i="5"/>
  <c r="H116" i="3"/>
  <c r="H119" i="3"/>
  <c r="H93" i="3"/>
  <c r="H79" i="3"/>
  <c r="H71" i="3"/>
  <c r="H53" i="3"/>
  <c r="H141" i="3"/>
  <c r="H140" i="3" s="1"/>
  <c r="H144" i="3"/>
  <c r="H41" i="3"/>
  <c r="H35" i="3"/>
  <c r="J58" i="3"/>
  <c r="J59" i="3"/>
  <c r="J60" i="3"/>
  <c r="J61" i="3"/>
  <c r="J62" i="3"/>
  <c r="J64" i="3"/>
  <c r="J65" i="3"/>
  <c r="J66" i="3"/>
  <c r="J67" i="3"/>
  <c r="J68" i="3"/>
  <c r="J69" i="3"/>
  <c r="J71" i="3"/>
  <c r="J72" i="3"/>
  <c r="J73" i="3"/>
  <c r="J74" i="3"/>
  <c r="J75" i="3"/>
  <c r="J76" i="3"/>
  <c r="J77" i="3"/>
  <c r="J79" i="3"/>
  <c r="J80" i="3"/>
  <c r="J81" i="3"/>
  <c r="J82" i="3"/>
  <c r="J83" i="3"/>
  <c r="J84" i="3"/>
  <c r="J85" i="3"/>
  <c r="J86" i="3"/>
  <c r="J87" i="3"/>
  <c r="J88" i="3"/>
  <c r="J90" i="3"/>
  <c r="J91" i="3"/>
  <c r="J93" i="3"/>
  <c r="J94" i="3"/>
  <c r="J95" i="3"/>
  <c r="J96" i="3"/>
  <c r="J97" i="3"/>
  <c r="J99" i="3"/>
  <c r="J101" i="3"/>
  <c r="J102" i="3"/>
  <c r="J103" i="3"/>
  <c r="J107" i="3"/>
  <c r="J108" i="3"/>
  <c r="J110" i="3"/>
  <c r="J112" i="3"/>
  <c r="J115" i="3"/>
  <c r="J116" i="3"/>
  <c r="J117" i="3"/>
  <c r="J119" i="3"/>
  <c r="J120" i="3"/>
  <c r="J121" i="3"/>
  <c r="J124" i="3"/>
  <c r="J125" i="3"/>
  <c r="J126" i="3"/>
  <c r="J128" i="3"/>
  <c r="J130" i="3"/>
  <c r="J132" i="3"/>
  <c r="J135" i="3"/>
  <c r="J136" i="3"/>
  <c r="J137" i="3"/>
  <c r="J138" i="3"/>
  <c r="J140" i="3"/>
  <c r="J141" i="3"/>
  <c r="J142" i="3"/>
  <c r="J144" i="3"/>
  <c r="J145" i="3"/>
  <c r="J146" i="3"/>
  <c r="J147" i="3"/>
  <c r="J150" i="3"/>
  <c r="J151" i="3"/>
  <c r="J152" i="3"/>
  <c r="J156" i="3"/>
  <c r="J157" i="3"/>
  <c r="J158" i="3"/>
  <c r="J57" i="3"/>
  <c r="J56" i="3"/>
  <c r="J55" i="3"/>
  <c r="J54" i="3"/>
  <c r="J53" i="3"/>
  <c r="I140" i="3"/>
  <c r="I135" i="3" s="1"/>
  <c r="I144" i="3"/>
  <c r="I141" i="3"/>
  <c r="J129" i="3"/>
  <c r="I102" i="3"/>
  <c r="I101" i="3" s="1"/>
  <c r="I79" i="3"/>
  <c r="I71" i="3"/>
  <c r="J38" i="3"/>
  <c r="J16" i="3"/>
  <c r="J17" i="3"/>
  <c r="J20" i="3"/>
  <c r="J22" i="3"/>
  <c r="J23" i="3"/>
  <c r="J25" i="3"/>
  <c r="J26" i="3"/>
  <c r="J28" i="3"/>
  <c r="J29" i="3"/>
  <c r="J30" i="3"/>
  <c r="J31" i="3"/>
  <c r="J33" i="3"/>
  <c r="J34" i="3"/>
  <c r="J36" i="3"/>
  <c r="J37" i="3"/>
  <c r="J39" i="3"/>
  <c r="J41" i="3"/>
  <c r="J42" i="3"/>
  <c r="J43" i="3"/>
  <c r="H21" i="3"/>
  <c r="I35" i="3"/>
  <c r="J35" i="3" s="1"/>
  <c r="H38" i="3"/>
  <c r="H43" i="3"/>
  <c r="H42" i="3"/>
  <c r="I24" i="3"/>
  <c r="J24" i="3" s="1"/>
  <c r="I21" i="3"/>
  <c r="J21" i="3" s="1"/>
  <c r="I18" i="3"/>
  <c r="J18" i="3" s="1"/>
  <c r="I69" i="3"/>
  <c r="H148" i="3"/>
  <c r="H117" i="3"/>
  <c r="H96" i="3"/>
  <c r="H40" i="3"/>
  <c r="H18" i="3"/>
  <c r="J14" i="1"/>
  <c r="H15" i="1"/>
  <c r="H16" i="1" s="1"/>
  <c r="J13" i="1"/>
  <c r="J12" i="1"/>
  <c r="I15" i="1"/>
  <c r="J15" i="1" s="1"/>
  <c r="I12" i="1"/>
  <c r="G75" i="5" l="1"/>
  <c r="G7" i="5"/>
  <c r="G54" i="5"/>
  <c r="G42" i="5"/>
  <c r="G71" i="5"/>
  <c r="G58" i="5"/>
  <c r="G45" i="5"/>
  <c r="G63" i="5"/>
  <c r="G61" i="5"/>
  <c r="G40" i="5"/>
  <c r="D70" i="5"/>
  <c r="G26" i="5"/>
  <c r="G10" i="5"/>
  <c r="G52" i="5"/>
  <c r="G19" i="5"/>
  <c r="E38" i="5"/>
  <c r="I16" i="1"/>
  <c r="I53" i="3"/>
  <c r="I12" i="3"/>
  <c r="J12" i="3" s="1"/>
  <c r="G38" i="5" l="1"/>
  <c r="G39" i="5"/>
  <c r="G68" i="5"/>
  <c r="G70" i="5"/>
  <c r="J16" i="1"/>
  <c r="I11" i="3"/>
  <c r="I10" i="3" l="1"/>
  <c r="J10" i="3" s="1"/>
  <c r="J11" i="3"/>
</calcChain>
</file>

<file path=xl/sharedStrings.xml><?xml version="1.0" encoding="utf-8"?>
<sst xmlns="http://schemas.openxmlformats.org/spreadsheetml/2006/main" count="367" uniqueCount="230">
  <si>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</si>
  <si>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</si>
  <si>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</si>
  <si>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</si>
  <si>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</si>
  <si>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</si>
  <si>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</si>
  <si>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</si>
  <si>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</si>
  <si>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</si>
  <si>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I. OPĆI DIO</t>
  </si>
  <si>
    <t>Materijalni rashodi</t>
  </si>
  <si>
    <t>Pomoći iz inozemstva i od subjekata unutar općeg proračuna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</si>
  <si>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</si>
  <si>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</si>
  <si>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</si>
  <si>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</si>
  <si>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</si>
  <si>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</si>
  <si>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</si>
  <si>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</si>
  <si>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</si>
  <si>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</si>
  <si>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</si>
  <si>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</si>
  <si>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</si>
  <si>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</si>
  <si>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</si>
  <si>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</si>
  <si>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</si>
  <si>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</si>
  <si>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</si>
  <si>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</si>
  <si>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</si>
  <si>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</si>
  <si>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</si>
  <si>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</si>
  <si>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</si>
  <si>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</si>
  <si>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</si>
  <si>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</si>
  <si>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</si>
  <si>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OSTVARENJE/IZVRŠENJE 
N-1.</t>
  </si>
  <si>
    <t>IZVORNI PLAN ILI REBALANS N.*</t>
  </si>
  <si>
    <t>IZVRŠENJE FINANCIJSKOG PLANA PRORAČUNSKOG KORISNIKA DRŽAVNOG PRORAČUNA
ZA N. GODINU</t>
  </si>
  <si>
    <t>OSTVARENJE/IZVRŠENJE 
N.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</si>
  <si>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</si>
  <si>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</si>
  <si>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</si>
  <si>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 IZVRŠENJE 
N-1. </t>
  </si>
  <si>
    <t xml:space="preserve"> IZVRŠENJE 
N. 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</si>
  <si>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</si>
  <si>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</si>
  <si>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</si>
  <si>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</si>
  <si>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-</t>
  </si>
  <si>
    <t>/</t>
  </si>
  <si>
    <t>Tekuće pomoći temeljem prijenosa EU sredstava</t>
  </si>
  <si>
    <t>Prihodi iz nadležnog prorač. za financir. rashoda poslovanja</t>
  </si>
  <si>
    <t>Pomoći proračunu iz drugih proračuna i izvanproračunskih korisnika</t>
  </si>
  <si>
    <t>Tekuće pomoći proračunu iz drugih proračuna i izvanprorač. Korisnika</t>
  </si>
  <si>
    <t>Pomoći prorač. korisn. Iz proračuna koji im nije nadležan</t>
  </si>
  <si>
    <t>Tekuće pomoći prorač. korisnicima iz proračuna koji im nije nadležan</t>
  </si>
  <si>
    <t>Kapitalne pomoći temeljem prijenosa EU sredstava</t>
  </si>
  <si>
    <t>Prijenosi između prorač. korisnika istog proračuna</t>
  </si>
  <si>
    <t>Tekući prijenosi između prorač. korisnika istog proračuna</t>
  </si>
  <si>
    <t>Tekući prijenosi između prorač. korisnika istog proračuna temeljem</t>
  </si>
  <si>
    <t>prijenosa EU sredstava</t>
  </si>
  <si>
    <t>Prihodi od imovine</t>
  </si>
  <si>
    <t>Prihodi od fin. imovine</t>
  </si>
  <si>
    <t>Prihodi od pozitivnih teč. razlika i razlika zbog valut. klauzule</t>
  </si>
  <si>
    <t>Prihodi od upravnih i admin. pristojbi, pristojbi o posebnim propisima</t>
  </si>
  <si>
    <t>i naknadama</t>
  </si>
  <si>
    <t>Prihodi po posebnim propisima</t>
  </si>
  <si>
    <t>Ostali nespomenuti prihodi</t>
  </si>
  <si>
    <t>Prihodi od pruženih usluga</t>
  </si>
  <si>
    <t>Donacije od pravnih i fizičkih osoba</t>
  </si>
  <si>
    <t>Tekuće donacije</t>
  </si>
  <si>
    <t>Prihodi iz nadležnog proračuna za financiranje rashoda poslovanja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</si>
  <si>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</si>
  <si>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</si>
  <si>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</si>
  <si>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</si>
  <si>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Naknada za prijevoz, rad na terenu i odvojeni život</t>
  </si>
  <si>
    <t>Stručno usavršavanje zaposlenika</t>
  </si>
  <si>
    <t>Ostale naknade troškova zaposlenika</t>
  </si>
  <si>
    <t>Rashodi za materijal i energiju</t>
  </si>
  <si>
    <t>Uredski materijal i ostali materijalni rashodi</t>
  </si>
  <si>
    <t>Materijal i sirovine</t>
  </si>
  <si>
    <t>Energija</t>
  </si>
  <si>
    <t>Materijal i dijelovi za tek. i inv.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</si>
  <si>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</si>
  <si>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</si>
  <si>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</si>
  <si>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</si>
  <si>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inv. održavanja</t>
  </si>
  <si>
    <t>Usluga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</si>
  <si>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</si>
  <si>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</si>
  <si>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</si>
  <si>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</si>
  <si>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</si>
  <si>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</si>
  <si>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trošk. osobama izvan radnog odnosa</t>
  </si>
  <si>
    <t>Ostali nespomenuti rashodi poslovanja</t>
  </si>
  <si>
    <t>Naknade za rad predstavničkih i izvršnih tijela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</si>
  <si>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</si>
  <si>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</si>
  <si>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</si>
  <si>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</si>
  <si>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</si>
  <si>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</si>
  <si>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</si>
  <si>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Neg. teč. razlike i razlike zbog primjene valutne klauzule</t>
  </si>
  <si>
    <t>Zatezne kamate</t>
  </si>
  <si>
    <t>Subvencije</t>
  </si>
  <si>
    <t>Subvencije trg. društvima, zadrugama, poljoprivrednicima i obrtnicima</t>
  </si>
  <si>
    <t>izvan javnog sektora</t>
  </si>
  <si>
    <t>Subvencije trg. društvima i zadrugama izvan javnog sektora</t>
  </si>
  <si>
    <t>iz EU sredstava</t>
  </si>
  <si>
    <t>Pomoći dane u inozemstvo i unutar općeg proračuna</t>
  </si>
  <si>
    <t>Pomoći temeljem prijenosa EU sredstava</t>
  </si>
  <si>
    <t>Prijenos između prorač. korisnika istog proračuna</t>
  </si>
  <si>
    <t>Tekući prijenos između prorač. korisnika istog proračuna</t>
  </si>
  <si>
    <t>Tekući prijenos između prorač. korisnika istog proračuna temeljem</t>
  </si>
  <si>
    <t>Naknade građanima i kućanstvima na temelju osiguranja i druge nakande</t>
  </si>
  <si>
    <t>Ostale naknade građanima i kućanstvima iz proračuna</t>
  </si>
  <si>
    <t>Naknade građanima i kućanstvima u naravi</t>
  </si>
  <si>
    <t>Ostali rashodi</t>
  </si>
  <si>
    <t>Tekuće donacije u novcu</t>
  </si>
  <si>
    <t>Tekuće donacije iz EU sredstava</t>
  </si>
  <si>
    <t>Nematerijalna imovina</t>
  </si>
  <si>
    <t>Licence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</si>
  <si>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</si>
  <si>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</si>
  <si>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</si>
  <si>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</si>
  <si>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</si>
  <si>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</si>
  <si>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</si>
  <si>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Uređaji, strojevi i oprema za ostale namjene</t>
  </si>
  <si>
    <t>Knjige, umjetnička djela i ostale izložbene vrijednosti</t>
  </si>
  <si>
    <t>Knjige</t>
  </si>
  <si>
    <t>Rashodi za dodatna ulaganja na nefinanc. imovini</t>
  </si>
  <si>
    <t>Dodatna ulaganja na građevinskim objektima</t>
  </si>
  <si>
    <t>Kapitalne pomoći prorač. korisnicima iz proračuna koji im nije nadležan</t>
  </si>
  <si>
    <t>Kapitalne pomoći od inozemnih vlada</t>
  </si>
  <si>
    <t>Kapitalne donacije</t>
  </si>
  <si>
    <t>Instrumenti, uređaji i strojevi</t>
  </si>
  <si>
    <t>Sportska i glazbena oprema</t>
  </si>
  <si>
    <t>Tekuće donacije u naravi</t>
  </si>
  <si>
    <t>Prihodi od prodaje proizvoda i robe te pruženih usluga i prihodi od donacija</t>
  </si>
  <si>
    <t>Prihodi iz nadležnog proračuna za financiranje rashoda za nabavu</t>
  </si>
  <si>
    <t>nefinancijske imovine</t>
  </si>
  <si>
    <t>Ostali prihodi</t>
  </si>
  <si>
    <t>Kazne, upravne mjere i ostali prihodi</t>
  </si>
  <si>
    <t>Ostali građevinski objekti</t>
  </si>
  <si>
    <t>Nematerijalna proizvedena imovina</t>
  </si>
  <si>
    <t>Ulaganja u računalne programe</t>
  </si>
  <si>
    <t>631    Kapitalne pomoći od inozemnih vlada</t>
  </si>
  <si>
    <t xml:space="preserve">         im nije nadležan</t>
  </si>
  <si>
    <t xml:space="preserve">6    UKUPNO PRIHODI </t>
  </si>
  <si>
    <t>Izvor</t>
  </si>
  <si>
    <t>5.S.</t>
  </si>
  <si>
    <t>4.M.</t>
  </si>
  <si>
    <t>5.L.</t>
  </si>
  <si>
    <t xml:space="preserve">         nadležan</t>
  </si>
  <si>
    <t xml:space="preserve">      *  Pomoći prorač. korisn. iz proračuna koji im nije</t>
  </si>
  <si>
    <t xml:space="preserve">      *  Kapitalne pomoći prorač. korisn. iz proračuna koji</t>
  </si>
  <si>
    <t>3.4.</t>
  </si>
  <si>
    <t>6.4.</t>
  </si>
  <si>
    <t xml:space="preserve">     * Kapitalne donacije</t>
  </si>
  <si>
    <t xml:space="preserve">     * Tekuće donacije</t>
  </si>
  <si>
    <t>3    RASHODI POSLOVANJA</t>
  </si>
  <si>
    <t>31  Rashodi za zaposlene</t>
  </si>
  <si>
    <t>1.1.</t>
  </si>
  <si>
    <t>Opći prihodi i primici</t>
  </si>
  <si>
    <t>Vlastiti prihodi</t>
  </si>
  <si>
    <t xml:space="preserve">3.4. </t>
  </si>
  <si>
    <t>Državni proračun</t>
  </si>
  <si>
    <t>Regionalni centar kompetentnosti</t>
  </si>
  <si>
    <t>Posebne namjene</t>
  </si>
  <si>
    <t>Donacije</t>
  </si>
  <si>
    <t>32  Materijalni rashodi</t>
  </si>
  <si>
    <t>34 Financijski rashodi</t>
  </si>
  <si>
    <t>36 Pomoći dane u inozemstvo i unutar općeg proračuna</t>
  </si>
  <si>
    <t>1.1</t>
  </si>
  <si>
    <t>41 Rashodi za nabavu neproizvedene dugotrajne imovine</t>
  </si>
  <si>
    <t>42 Rashodi za nabavu proizvedene dugotrajne imovine</t>
  </si>
  <si>
    <t>37 Naknade građanima i kućanstvima na temelju</t>
  </si>
  <si>
    <t xml:space="preserve">    osiguranja i druge naknade</t>
  </si>
  <si>
    <t xml:space="preserve">  Opći prihodi i primici</t>
  </si>
  <si>
    <t>042 Poljoprivreda, šumarstvo, ribarstvo i lov</t>
  </si>
  <si>
    <t>0421 Poljoprivreda</t>
  </si>
  <si>
    <t>048 Istraživanje i razvoj: Ekonomski poslovi</t>
  </si>
  <si>
    <t>0481 Istraživanje i razvoj: Opći i ekon. poslovi</t>
  </si>
  <si>
    <t>07 Zdravstvo</t>
  </si>
  <si>
    <t>076 Poslovi i usluge zdravstva koji nisu drugdje svrstani</t>
  </si>
  <si>
    <t>0760 Poslovi i usluge zdravstva koji nisu drugdje svrstani</t>
  </si>
  <si>
    <t>09 Obrazovanje</t>
  </si>
  <si>
    <t>092 Srednjoškolsko obrazovanje</t>
  </si>
  <si>
    <t>0921 Niže srednjoškolsko obrazovanje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</si>
  <si>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</si>
  <si>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</si>
  <si>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</si>
  <si>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</si>
  <si>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096 Dodatne usluge u obrazovanju</t>
  </si>
  <si>
    <t>0960 Dodatne usluge u obrazovanju</t>
  </si>
  <si>
    <t>639   Prijenosi između proračunskih korisnika istog proračuna</t>
  </si>
  <si>
    <t xml:space="preserve">      *  Tekuće pomoći prorač. korisn. iz proračuna koji</t>
  </si>
  <si>
    <t xml:space="preserve">       Tekuće pomoći temeljem prijenosa EU sredstava</t>
  </si>
  <si>
    <t xml:space="preserve">       Kapitalne pomoći temeljem prijenosa EU sredstava</t>
  </si>
  <si>
    <t xml:space="preserve">        Ostali nespomenuti prihodi</t>
  </si>
  <si>
    <t xml:space="preserve">        Prihodi od pruženih usluga</t>
  </si>
  <si>
    <t xml:space="preserve">        Kapitalne donacije</t>
  </si>
  <si>
    <t>633    Pomoći proračunu iz drugih prorač. i izvanprorač. korisn.</t>
  </si>
  <si>
    <t>64     Prihodi od imovine</t>
  </si>
  <si>
    <t>35 Subvencije</t>
  </si>
  <si>
    <t>38 Ostali rashodi za zaposlene</t>
  </si>
  <si>
    <t>45 Rashodi za dodatna ulaganja na nefinanc. imovini</t>
  </si>
  <si>
    <t>4  RASHODI ZA NABAVU NEFINANCIJSKE IMOVINE</t>
  </si>
  <si>
    <t>63  Pomoći iz inozemstva i od subjekata unutar općeg prorač.</t>
  </si>
  <si>
    <t>636    Pomoći prorač. korisn. iz proračuna koji im nije nadležan</t>
  </si>
  <si>
    <t xml:space="preserve">      *  Pomoći prorač. korisn. iz proračuna koji</t>
  </si>
  <si>
    <t>638   Pomoći temeljem prijenosa EU</t>
  </si>
  <si>
    <t>65     Prihodi od uprav. i admin. pristojbi, pristojbi po poseb propis.</t>
  </si>
  <si>
    <t>66     Prihodi od pruženih usluga, donacija te povrati po jamstvima</t>
  </si>
  <si>
    <t xml:space="preserve">67    Prihodi iz nadležnog proračuna i od HZZO-a </t>
  </si>
  <si>
    <t>68    Ostali prihodi</t>
  </si>
  <si>
    <t>7=5/3*100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</si>
</sst>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5" fillId="2" borderId="3" xfId="0" applyNumberFormat="1" applyFont="1" applyFill="1" applyBorder="1" applyAlignment="1" applyProtection="1">
      <alignment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0" fillId="0" borderId="0" xfId="0" applyNumberFormat="1"/>
    <xf numFmtId="3" fontId="5" fillId="0" borderId="3" xfId="0" applyNumberFormat="1" applyFont="1" applyFill="1" applyBorder="1" applyAlignment="1" applyProtection="1">
      <alignment horizontal="center" wrapText="1"/>
    </xf>
    <xf numFmtId="3" fontId="5" fillId="3" borderId="3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 applyProtection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3" borderId="3" xfId="0" applyNumberFormat="1" applyFont="1" applyFill="1" applyBorder="1" applyAlignment="1" applyProtection="1">
      <alignment horizontal="center" wrapText="1"/>
    </xf>
    <xf numFmtId="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/>
    <xf numFmtId="0" fontId="8" fillId="2" borderId="0" xfId="0" quotePrefix="1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164" fontId="5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/>
    <xf numFmtId="4" fontId="5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3" xfId="0" quotePrefix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" fontId="16" fillId="2" borderId="8" xfId="0" applyNumberFormat="1" applyFont="1" applyFill="1" applyBorder="1" applyAlignment="1">
      <alignment horizontal="center"/>
    </xf>
    <xf numFmtId="0" fontId="0" fillId="0" borderId="8" xfId="0" applyBorder="1"/>
    <xf numFmtId="3" fontId="17" fillId="2" borderId="3" xfId="0" applyNumberFormat="1" applyFont="1" applyFill="1" applyBorder="1" applyAlignment="1">
      <alignment horizontal="right"/>
    </xf>
    <xf numFmtId="164" fontId="18" fillId="2" borderId="3" xfId="0" applyNumberFormat="1" applyFont="1" applyFill="1" applyBorder="1" applyAlignment="1">
      <alignment horizontal="right"/>
    </xf>
    <xf numFmtId="164" fontId="18" fillId="2" borderId="3" xfId="0" applyNumberFormat="1" applyFont="1" applyFill="1" applyBorder="1" applyAlignment="1"/>
    <xf numFmtId="164" fontId="16" fillId="2" borderId="3" xfId="0" applyNumberFormat="1" applyFont="1" applyFill="1" applyBorder="1" applyAlignment="1">
      <alignment horizontal="right"/>
    </xf>
    <xf numFmtId="0" fontId="19" fillId="2" borderId="3" xfId="0" applyNumberFormat="1" applyFont="1" applyFill="1" applyBorder="1" applyAlignment="1" applyProtection="1">
      <alignment vertical="center" wrapText="1"/>
    </xf>
    <xf numFmtId="4" fontId="18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16" fillId="2" borderId="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0" fillId="0" borderId="0" xfId="0" applyFont="1"/>
    <xf numFmtId="4" fontId="16" fillId="2" borderId="7" xfId="0" applyNumberFormat="1" applyFont="1" applyFill="1" applyBorder="1" applyAlignment="1">
      <alignment horizontal="right"/>
    </xf>
    <xf numFmtId="0" fontId="0" fillId="0" borderId="3" xfId="0" applyFont="1" applyBorder="1"/>
    <xf numFmtId="0" fontId="8" fillId="2" borderId="3" xfId="0" quotePrefix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6" fillId="2" borderId="3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2" fontId="0" fillId="0" borderId="3" xfId="0" applyNumberFormat="1" applyBorder="1" applyAlignment="1">
      <alignment horizont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vertical="top" wrapText="1"/>
    </xf>
    <xf numFmtId="0" fontId="6" fillId="2" borderId="3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13" fillId="0" borderId="0" xfId="0" applyNumberFormat="1" applyFont="1" applyAlignment="1">
      <alignment vertical="top" wrapText="1"/>
    </xf>
    <xf numFmtId="0" fontId="8" fillId="2" borderId="0" xfId="0" applyFont="1" applyFill="1" applyBorder="1" applyAlignment="1">
      <alignment vertical="center"/>
    </xf>
    <xf numFmtId="164" fontId="0" fillId="0" borderId="0" xfId="0" applyNumberFormat="1" applyBorder="1"/>
    <xf numFmtId="2" fontId="0" fillId="0" borderId="0" xfId="0" applyNumberFormat="1"/>
    <xf numFmtId="0" fontId="8" fillId="0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164" fontId="3" fillId="2" borderId="9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6"/>
  <sheetViews>
    <sheetView tabSelected="1" zoomScaleNormal="100" workbookViewId="0"/>
  </sheetViews>
  <sheetFormatPr defaultRowHeight="15" x14ac:dyDescent="0.25"/>
  <cols>
    <col min="6" max="9" width="25.28515625" customWidth="1"/>
    <col min="10" max="11" width="15.7109375" customWidth="1"/>
    <col min="12" max="12" width="10.140625" bestFit="1" customWidth="1"/>
  </cols>
  <sheetData>
    <row r="1" spans="2:13" ht="42" customHeight="1" x14ac:dyDescent="0.25">
      <c r="B1" s="111" t="s">
        <v>44</v>
      </c>
      <c r="C1" s="111"/>
      <c r="D1" s="111"/>
      <c r="E1" s="111"/>
      <c r="F1" s="111"/>
      <c r="G1" s="111"/>
      <c r="H1" s="111"/>
      <c r="I1" s="111"/>
      <c r="J1" s="111"/>
      <c r="K1" s="22"/>
    </row>
    <row r="2" spans="2:13" ht="18" customHeight="1" x14ac:dyDescent="0.25">
      <c r="B2" s="110"/>
      <c r="C2" s="110"/>
      <c r="D2" s="110"/>
      <c r="E2" s="110"/>
      <c r="F2" s="110"/>
      <c r="G2" s="110"/>
      <c r="H2" s="110"/>
      <c r="I2" s="110"/>
      <c r="J2" s="110"/>
      <c r="K2" s="3"/>
    </row>
    <row r="3" spans="2:13" ht="15.75" customHeight="1" x14ac:dyDescent="0.25">
      <c r="B3" s="111" t="s">
        <v>10</v>
      </c>
      <c r="C3" s="111"/>
      <c r="D3" s="111"/>
      <c r="E3" s="111"/>
      <c r="F3" s="111"/>
      <c r="G3" s="111"/>
      <c r="H3" s="111"/>
      <c r="I3" s="111"/>
      <c r="J3" s="111"/>
      <c r="K3" s="21"/>
    </row>
    <row r="4" spans="2:13" ht="18" x14ac:dyDescent="0.25">
      <c r="B4" s="110"/>
      <c r="C4" s="110"/>
      <c r="D4" s="110"/>
      <c r="E4" s="110"/>
      <c r="F4" s="110"/>
      <c r="G4" s="110"/>
      <c r="H4" s="110"/>
      <c r="I4" s="110"/>
      <c r="J4" s="110"/>
      <c r="K4" s="4"/>
    </row>
    <row r="5" spans="2:13" ht="18" customHeight="1" x14ac:dyDescent="0.25">
      <c r="B5" s="111" t="s">
        <v>35</v>
      </c>
      <c r="C5" s="111"/>
      <c r="D5" s="111"/>
      <c r="E5" s="111"/>
      <c r="F5" s="111"/>
      <c r="G5" s="111"/>
      <c r="H5" s="111"/>
      <c r="I5" s="111"/>
      <c r="J5" s="111"/>
      <c r="K5" s="20"/>
    </row>
    <row r="6" spans="2:13" ht="18" customHeigh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20"/>
    </row>
    <row r="7" spans="2:13" ht="18" customHeight="1" x14ac:dyDescent="0.25">
      <c r="B7" s="136" t="s">
        <v>41</v>
      </c>
      <c r="C7" s="136"/>
      <c r="D7" s="136"/>
      <c r="E7" s="136"/>
      <c r="F7" s="136"/>
      <c r="G7" s="42"/>
      <c r="H7" s="38"/>
      <c r="I7" s="38"/>
      <c r="J7" s="39"/>
      <c r="K7" s="39"/>
    </row>
    <row r="8" spans="2:13" ht="25.5" x14ac:dyDescent="0.25">
      <c r="B8" s="120" t="s">
        <v>8</v>
      </c>
      <c r="C8" s="120"/>
      <c r="D8" s="120"/>
      <c r="E8" s="120"/>
      <c r="F8" s="120"/>
      <c r="G8" s="23" t="s">
        <v>42</v>
      </c>
      <c r="H8" s="23" t="s">
        <v>43</v>
      </c>
      <c r="I8" s="23" t="s">
        <v>45</v>
      </c>
      <c r="J8" s="23" t="s">
        <v>14</v>
      </c>
      <c r="K8" s="23" t="s">
        <v>14</v>
      </c>
    </row>
    <row r="9" spans="2:13" x14ac:dyDescent="0.25">
      <c r="B9" s="130">
        <v>1</v>
      </c>
      <c r="C9" s="130"/>
      <c r="D9" s="130"/>
      <c r="E9" s="130"/>
      <c r="F9" s="131"/>
      <c r="G9" s="28">
        <v>2</v>
      </c>
      <c r="H9" s="27">
        <v>3</v>
      </c>
      <c r="I9" s="27">
        <v>5</v>
      </c>
      <c r="J9" s="27" t="s">
        <v>28</v>
      </c>
      <c r="K9" s="27" t="s">
        <v>229</v>
      </c>
    </row>
    <row r="10" spans="2:13" x14ac:dyDescent="0.25">
      <c r="B10" s="118" t="s">
        <v>16</v>
      </c>
      <c r="C10" s="119"/>
      <c r="D10" s="119"/>
      <c r="E10" s="119"/>
      <c r="F10" s="128"/>
      <c r="G10" s="49">
        <v>5231244.1900000004</v>
      </c>
      <c r="H10" s="43">
        <v>11944187.140000001</v>
      </c>
      <c r="I10" s="49">
        <v>12117662.890000001</v>
      </c>
      <c r="J10" s="43">
        <f>I10/G10</f>
        <v>2.3164016914301224</v>
      </c>
      <c r="K10" s="43">
        <f>I10/H10</f>
        <v>1.0145238640324921</v>
      </c>
    </row>
    <row r="11" spans="2:13" x14ac:dyDescent="0.25">
      <c r="B11" s="129" t="s">
        <v>15</v>
      </c>
      <c r="C11" s="128"/>
      <c r="D11" s="128"/>
      <c r="E11" s="128"/>
      <c r="F11" s="128"/>
      <c r="G11" s="49">
        <v>0</v>
      </c>
      <c r="H11" s="43">
        <v>0</v>
      </c>
      <c r="I11" s="49">
        <v>0</v>
      </c>
      <c r="J11" s="43" t="s">
        <v>56</v>
      </c>
      <c r="K11" s="43" t="s">
        <v>55</v>
      </c>
    </row>
    <row r="12" spans="2:13" x14ac:dyDescent="0.25">
      <c r="B12" s="125" t="s">
        <v>0</v>
      </c>
      <c r="C12" s="126"/>
      <c r="D12" s="126"/>
      <c r="E12" s="126"/>
      <c r="F12" s="127"/>
      <c r="G12" s="50">
        <v>5231244.1900000004</v>
      </c>
      <c r="H12" s="47">
        <v>11944187.140000001</v>
      </c>
      <c r="I12" s="50">
        <f>I10</f>
        <v>12117662.890000001</v>
      </c>
      <c r="J12" s="47">
        <f>I12/G12</f>
        <v>2.3164016914301224</v>
      </c>
      <c r="K12" s="47">
        <f t="shared" ref="K12:K15" si="0">I12/H12</f>
        <v>1.0145238640324921</v>
      </c>
      <c r="L12" s="45"/>
    </row>
    <row r="13" spans="2:13" x14ac:dyDescent="0.25">
      <c r="B13" s="135" t="s">
        <v>17</v>
      </c>
      <c r="C13" s="119"/>
      <c r="D13" s="119"/>
      <c r="E13" s="119"/>
      <c r="F13" s="119"/>
      <c r="G13" s="49">
        <v>3870431.2044594861</v>
      </c>
      <c r="H13" s="43">
        <v>3814250.47</v>
      </c>
      <c r="I13" s="49">
        <v>6474341.1399999997</v>
      </c>
      <c r="J13" s="46">
        <f>I13/G13</f>
        <v>1.6727699829776861</v>
      </c>
      <c r="K13" s="46">
        <f t="shared" si="0"/>
        <v>1.6974084924213169</v>
      </c>
    </row>
    <row r="14" spans="2:13" x14ac:dyDescent="0.25">
      <c r="B14" s="133" t="s">
        <v>18</v>
      </c>
      <c r="C14" s="128"/>
      <c r="D14" s="128"/>
      <c r="E14" s="128"/>
      <c r="F14" s="128"/>
      <c r="G14" s="51">
        <v>767552.85685845104</v>
      </c>
      <c r="H14" s="44">
        <v>8129936.6799999997</v>
      </c>
      <c r="I14" s="51">
        <v>6272206.1799999997</v>
      </c>
      <c r="J14" s="46">
        <f>I14/G14</f>
        <v>8.1716928338613357</v>
      </c>
      <c r="K14" s="46">
        <f t="shared" si="0"/>
        <v>0.77149508377228837</v>
      </c>
      <c r="L14" s="45"/>
      <c r="M14" s="45"/>
    </row>
    <row r="15" spans="2:13" x14ac:dyDescent="0.25">
      <c r="B15" s="17" t="s">
        <v>1</v>
      </c>
      <c r="C15" s="36"/>
      <c r="D15" s="36"/>
      <c r="E15" s="36"/>
      <c r="F15" s="36"/>
      <c r="G15" s="50">
        <v>4637984.0613179402</v>
      </c>
      <c r="H15" s="47">
        <f>H13+H14</f>
        <v>11944187.15</v>
      </c>
      <c r="I15" s="50">
        <f>I13+I14</f>
        <v>12746547.32</v>
      </c>
      <c r="J15" s="47">
        <f>I15/G15</f>
        <v>2.7482947658897112</v>
      </c>
      <c r="K15" s="47">
        <f t="shared" si="0"/>
        <v>1.0671757868428913</v>
      </c>
    </row>
    <row r="16" spans="2:13" x14ac:dyDescent="0.25">
      <c r="B16" s="134" t="s">
        <v>2</v>
      </c>
      <c r="C16" s="126"/>
      <c r="D16" s="126"/>
      <c r="E16" s="126"/>
      <c r="F16" s="126"/>
      <c r="G16" s="52">
        <v>593260.13006835198</v>
      </c>
      <c r="H16" s="48">
        <f>H12-H15</f>
        <v>-9.9999997764825821E-3</v>
      </c>
      <c r="I16" s="52">
        <f>I12-I15</f>
        <v>-628884.4299999997</v>
      </c>
      <c r="J16" s="48">
        <f>I16/G16</f>
        <v>-1.0600483634852442</v>
      </c>
      <c r="K16" s="48" t="s">
        <v>55</v>
      </c>
    </row>
    <row r="17" spans="1:47" ht="18" x14ac:dyDescent="0.25">
      <c r="B17" s="112"/>
      <c r="C17" s="113"/>
      <c r="D17" s="113"/>
      <c r="E17" s="113"/>
      <c r="F17" s="113"/>
      <c r="G17" s="113"/>
      <c r="H17" s="113"/>
      <c r="I17" s="113"/>
      <c r="J17" s="113"/>
      <c r="K17" s="1"/>
    </row>
    <row r="18" spans="1:47" ht="18" customHeight="1" x14ac:dyDescent="0.25">
      <c r="B18" s="117" t="s">
        <v>38</v>
      </c>
      <c r="C18" s="117"/>
      <c r="D18" s="117"/>
      <c r="E18" s="117"/>
      <c r="F18" s="117"/>
      <c r="G18" s="37"/>
      <c r="H18" s="38"/>
      <c r="I18" s="38"/>
      <c r="J18" s="39"/>
      <c r="K18" s="39"/>
    </row>
    <row r="19" spans="1:47" ht="25.5" x14ac:dyDescent="0.25">
      <c r="B19" s="120" t="s">
        <v>8</v>
      </c>
      <c r="C19" s="120"/>
      <c r="D19" s="120"/>
      <c r="E19" s="120"/>
      <c r="F19" s="120"/>
      <c r="G19" s="23" t="s">
        <v>42</v>
      </c>
      <c r="H19" s="2" t="s">
        <v>43</v>
      </c>
      <c r="I19" s="2" t="s">
        <v>46</v>
      </c>
      <c r="J19" s="2" t="s">
        <v>14</v>
      </c>
      <c r="K19" s="2" t="s">
        <v>14</v>
      </c>
    </row>
    <row r="20" spans="1:47" x14ac:dyDescent="0.25">
      <c r="B20" s="121">
        <v>1</v>
      </c>
      <c r="C20" s="122"/>
      <c r="D20" s="122"/>
      <c r="E20" s="122"/>
      <c r="F20" s="122"/>
      <c r="G20" s="29">
        <v>2</v>
      </c>
      <c r="H20" s="27">
        <v>3</v>
      </c>
      <c r="I20" s="27">
        <v>5</v>
      </c>
      <c r="J20" s="27" t="s">
        <v>28</v>
      </c>
      <c r="K20" s="27" t="s">
        <v>229</v>
      </c>
    </row>
    <row r="21" spans="1:47" ht="15.75" customHeight="1" x14ac:dyDescent="0.25">
      <c r="B21" s="118" t="s">
        <v>19</v>
      </c>
      <c r="C21" s="123"/>
      <c r="D21" s="123"/>
      <c r="E21" s="123"/>
      <c r="F21" s="123"/>
      <c r="G21" s="43">
        <v>0</v>
      </c>
      <c r="H21" s="43">
        <v>0</v>
      </c>
      <c r="I21" s="43">
        <v>0</v>
      </c>
      <c r="J21" s="43" t="s">
        <v>55</v>
      </c>
      <c r="K21" s="43" t="s">
        <v>55</v>
      </c>
    </row>
    <row r="22" spans="1:47" x14ac:dyDescent="0.25">
      <c r="B22" s="118" t="s">
        <v>20</v>
      </c>
      <c r="C22" s="119"/>
      <c r="D22" s="119"/>
      <c r="E22" s="119"/>
      <c r="F22" s="119"/>
      <c r="G22" s="43">
        <v>0</v>
      </c>
      <c r="H22" s="43">
        <v>0</v>
      </c>
      <c r="I22" s="43">
        <v>0</v>
      </c>
      <c r="J22" s="43" t="s">
        <v>55</v>
      </c>
      <c r="K22" s="43" t="s">
        <v>55</v>
      </c>
    </row>
    <row r="23" spans="1:47" ht="15" customHeight="1" x14ac:dyDescent="0.25">
      <c r="B23" s="114" t="s">
        <v>34</v>
      </c>
      <c r="C23" s="115"/>
      <c r="D23" s="115"/>
      <c r="E23" s="115"/>
      <c r="F23" s="116"/>
      <c r="G23" s="47">
        <v>0</v>
      </c>
      <c r="H23" s="47">
        <v>0</v>
      </c>
      <c r="I23" s="47">
        <v>0</v>
      </c>
      <c r="J23" s="47" t="s">
        <v>55</v>
      </c>
      <c r="K23" s="47" t="s">
        <v>55</v>
      </c>
    </row>
    <row r="24" spans="1:47" s="32" customFormat="1" ht="15" customHeight="1" x14ac:dyDescent="0.25">
      <c r="A24"/>
      <c r="B24" s="118" t="s">
        <v>13</v>
      </c>
      <c r="C24" s="119"/>
      <c r="D24" s="119"/>
      <c r="E24" s="119"/>
      <c r="F24" s="119"/>
      <c r="G24" s="43">
        <v>0</v>
      </c>
      <c r="H24" s="43">
        <v>0</v>
      </c>
      <c r="I24" s="43">
        <v>0</v>
      </c>
      <c r="J24" s="43" t="s">
        <v>55</v>
      </c>
      <c r="K24" s="43" t="s">
        <v>55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32" customFormat="1" ht="15" customHeight="1" x14ac:dyDescent="0.25">
      <c r="A25"/>
      <c r="B25" s="118" t="s">
        <v>37</v>
      </c>
      <c r="C25" s="119"/>
      <c r="D25" s="119"/>
      <c r="E25" s="119"/>
      <c r="F25" s="119"/>
      <c r="G25" s="43">
        <v>0</v>
      </c>
      <c r="H25" s="43">
        <v>0</v>
      </c>
      <c r="I25" s="43">
        <v>0</v>
      </c>
      <c r="J25" s="43" t="s">
        <v>55</v>
      </c>
      <c r="K25" s="43" t="s">
        <v>55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s="35" customFormat="1" x14ac:dyDescent="0.25">
      <c r="A26" s="34"/>
      <c r="B26" s="114" t="s">
        <v>39</v>
      </c>
      <c r="C26" s="115"/>
      <c r="D26" s="115"/>
      <c r="E26" s="115"/>
      <c r="F26" s="116"/>
      <c r="G26" s="47">
        <v>0</v>
      </c>
      <c r="H26" s="47">
        <v>0</v>
      </c>
      <c r="I26" s="47">
        <v>0</v>
      </c>
      <c r="J26" s="47" t="s">
        <v>55</v>
      </c>
      <c r="K26" s="47" t="s">
        <v>55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</row>
    <row r="27" spans="1:47" x14ac:dyDescent="0.25">
      <c r="B27" s="132" t="s">
        <v>40</v>
      </c>
      <c r="C27" s="132"/>
      <c r="D27" s="132"/>
      <c r="E27" s="132"/>
      <c r="F27" s="132"/>
      <c r="G27" s="47">
        <v>0</v>
      </c>
      <c r="H27" s="47">
        <v>0</v>
      </c>
      <c r="I27" s="47">
        <v>0</v>
      </c>
      <c r="J27" s="47" t="s">
        <v>55</v>
      </c>
      <c r="K27" s="47" t="s">
        <v>55</v>
      </c>
    </row>
    <row r="29" spans="1:47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47" x14ac:dyDescent="0.25">
      <c r="B30" s="109" t="s">
        <v>47</v>
      </c>
      <c r="C30" s="109"/>
      <c r="D30" s="109"/>
      <c r="E30" s="109"/>
      <c r="F30" s="109"/>
      <c r="G30" s="109"/>
      <c r="H30" s="109"/>
      <c r="I30" s="109"/>
      <c r="J30" s="109"/>
    </row>
    <row r="31" spans="1:47" ht="15" customHeight="1" x14ac:dyDescent="0.25">
      <c r="B31" s="109" t="s">
        <v>48</v>
      </c>
      <c r="C31" s="109"/>
      <c r="D31" s="109"/>
      <c r="E31" s="109"/>
      <c r="F31" s="109"/>
      <c r="G31" s="109"/>
      <c r="H31" s="109"/>
      <c r="I31" s="109"/>
      <c r="J31" s="109"/>
    </row>
    <row r="32" spans="1:47" ht="15" customHeight="1" x14ac:dyDescent="0.25">
      <c r="B32" s="109" t="s">
        <v>52</v>
      </c>
      <c r="C32" s="109"/>
      <c r="D32" s="109"/>
      <c r="E32" s="109"/>
      <c r="F32" s="109"/>
      <c r="G32" s="109"/>
      <c r="H32" s="109"/>
      <c r="I32" s="109"/>
      <c r="J32" s="109"/>
    </row>
    <row r="33" spans="2:10" ht="15" customHeight="1" x14ac:dyDescent="0.25">
      <c r="B33" s="109" t="s">
        <v>53</v>
      </c>
      <c r="C33" s="109"/>
      <c r="D33" s="109"/>
      <c r="E33" s="109"/>
      <c r="F33" s="109"/>
      <c r="G33" s="109"/>
      <c r="H33" s="109"/>
      <c r="I33" s="109"/>
      <c r="J33" s="109"/>
    </row>
    <row r="34" spans="2:10" ht="36.75" customHeight="1" x14ac:dyDescent="0.25">
      <c r="B34" s="109"/>
      <c r="C34" s="109"/>
      <c r="D34" s="109"/>
      <c r="E34" s="109"/>
      <c r="F34" s="109"/>
      <c r="G34" s="109"/>
      <c r="H34" s="109"/>
      <c r="I34" s="109"/>
      <c r="J34" s="109"/>
    </row>
    <row r="35" spans="2:10" ht="15" customHeight="1" x14ac:dyDescent="0.25">
      <c r="B35" s="124" t="s">
        <v>54</v>
      </c>
      <c r="C35" s="124"/>
      <c r="D35" s="124"/>
      <c r="E35" s="124"/>
      <c r="F35" s="124"/>
      <c r="G35" s="124"/>
      <c r="H35" s="124"/>
      <c r="I35" s="124"/>
      <c r="J35" s="124"/>
    </row>
    <row r="36" spans="2:10" x14ac:dyDescent="0.25">
      <c r="B36" s="124"/>
      <c r="C36" s="124"/>
      <c r="D36" s="124"/>
      <c r="E36" s="124"/>
      <c r="F36" s="124"/>
      <c r="G36" s="124"/>
      <c r="H36" s="124"/>
      <c r="I36" s="124"/>
      <c r="J36" s="124"/>
    </row>
  </sheetData>
  <mergeCells count="31">
    <mergeCell ref="B1:J1"/>
    <mergeCell ref="B33:J34"/>
    <mergeCell ref="B35:J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J30"/>
    <mergeCell ref="B31:J31"/>
    <mergeCell ref="B7:F7"/>
    <mergeCell ref="B32:J32"/>
    <mergeCell ref="B2:J2"/>
    <mergeCell ref="B4:J4"/>
    <mergeCell ref="B6:J6"/>
    <mergeCell ref="B17:J17"/>
    <mergeCell ref="B5:J5"/>
    <mergeCell ref="B3:J3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58"/>
  <sheetViews>
    <sheetView zoomScale="90" zoomScaleNormal="90" workbookViewId="0"/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67.42578125" bestFit="1" customWidth="1"/>
    <col min="7" max="9" width="25.28515625" customWidth="1"/>
    <col min="10" max="11" width="15.7109375" customWidth="1"/>
    <col min="12" max="12" width="17.5703125" bestFit="1" customWidth="1"/>
    <col min="13" max="13" width="12.5703125" bestFit="1" customWidth="1"/>
  </cols>
  <sheetData>
    <row r="1" spans="2:12" ht="18" x14ac:dyDescent="0.25">
      <c r="B1" s="110"/>
      <c r="C1" s="110"/>
      <c r="D1" s="110"/>
      <c r="E1" s="110"/>
      <c r="F1" s="110"/>
      <c r="G1" s="110"/>
      <c r="H1" s="110"/>
      <c r="I1" s="110"/>
      <c r="J1" s="110"/>
    </row>
    <row r="2" spans="2:12" ht="15.75" customHeight="1" x14ac:dyDescent="0.25">
      <c r="B2" s="111" t="s">
        <v>10</v>
      </c>
      <c r="C2" s="111"/>
      <c r="D2" s="111"/>
      <c r="E2" s="111"/>
      <c r="F2" s="111"/>
      <c r="G2" s="111"/>
      <c r="H2" s="111"/>
      <c r="I2" s="111"/>
      <c r="J2" s="111"/>
    </row>
    <row r="3" spans="2:12" ht="18" x14ac:dyDescent="0.25">
      <c r="B3" s="110"/>
      <c r="C3" s="110"/>
      <c r="D3" s="110"/>
      <c r="E3" s="110"/>
      <c r="F3" s="110"/>
      <c r="G3" s="110"/>
      <c r="H3" s="110"/>
      <c r="I3" s="110"/>
      <c r="J3" s="110"/>
    </row>
    <row r="4" spans="2:12" ht="15.75" customHeight="1" x14ac:dyDescent="0.25">
      <c r="B4" s="111" t="s">
        <v>36</v>
      </c>
      <c r="C4" s="111"/>
      <c r="D4" s="111"/>
      <c r="E4" s="111"/>
      <c r="F4" s="111"/>
      <c r="G4" s="111"/>
      <c r="H4" s="111"/>
      <c r="I4" s="111"/>
      <c r="J4" s="111"/>
    </row>
    <row r="5" spans="2:12" ht="18" x14ac:dyDescent="0.25">
      <c r="B5" s="110"/>
      <c r="C5" s="110"/>
      <c r="D5" s="110"/>
      <c r="E5" s="110"/>
      <c r="F5" s="110"/>
      <c r="G5" s="110"/>
      <c r="H5" s="110"/>
      <c r="I5" s="110"/>
      <c r="J5" s="110"/>
    </row>
    <row r="6" spans="2:12" ht="15.75" customHeight="1" x14ac:dyDescent="0.25">
      <c r="B6" s="111" t="s">
        <v>29</v>
      </c>
      <c r="C6" s="111"/>
      <c r="D6" s="111"/>
      <c r="E6" s="111"/>
      <c r="F6" s="111"/>
      <c r="G6" s="111"/>
      <c r="H6" s="111"/>
      <c r="I6" s="111"/>
      <c r="J6" s="111"/>
    </row>
    <row r="7" spans="2:12" ht="18" x14ac:dyDescent="0.25">
      <c r="B7" s="143"/>
      <c r="C7" s="143"/>
      <c r="D7" s="143"/>
      <c r="E7" s="143"/>
      <c r="F7" s="143"/>
      <c r="G7" s="143"/>
      <c r="H7" s="143"/>
      <c r="I7" s="143"/>
      <c r="J7" s="143"/>
    </row>
    <row r="8" spans="2:12" ht="45" customHeight="1" x14ac:dyDescent="0.25">
      <c r="B8" s="140" t="s">
        <v>8</v>
      </c>
      <c r="C8" s="141"/>
      <c r="D8" s="141"/>
      <c r="E8" s="141"/>
      <c r="F8" s="142"/>
      <c r="G8" s="31" t="s">
        <v>51</v>
      </c>
      <c r="H8" s="31" t="s">
        <v>43</v>
      </c>
      <c r="I8" s="31" t="s">
        <v>46</v>
      </c>
      <c r="J8" s="31" t="s">
        <v>14</v>
      </c>
      <c r="K8" s="31" t="s">
        <v>14</v>
      </c>
    </row>
    <row r="9" spans="2:12" x14ac:dyDescent="0.25">
      <c r="B9" s="137">
        <v>1</v>
      </c>
      <c r="C9" s="138"/>
      <c r="D9" s="138"/>
      <c r="E9" s="138"/>
      <c r="F9" s="139"/>
      <c r="G9" s="33">
        <v>2</v>
      </c>
      <c r="H9" s="33">
        <v>3</v>
      </c>
      <c r="I9" s="33">
        <v>5</v>
      </c>
      <c r="J9" s="33" t="s">
        <v>28</v>
      </c>
      <c r="K9" s="33" t="s">
        <v>229</v>
      </c>
    </row>
    <row r="10" spans="2:12" x14ac:dyDescent="0.25">
      <c r="B10" s="6"/>
      <c r="C10" s="6"/>
      <c r="D10" s="6"/>
      <c r="E10" s="6"/>
      <c r="F10" s="6" t="s">
        <v>33</v>
      </c>
      <c r="G10" s="62">
        <v>5231244.191386289</v>
      </c>
      <c r="H10" s="76">
        <v>11944187.140000001</v>
      </c>
      <c r="I10" s="55">
        <f>I11</f>
        <v>12117662.890000001</v>
      </c>
      <c r="J10" s="54">
        <f>I10/G10</f>
        <v>2.3164016908162717</v>
      </c>
      <c r="K10" s="54">
        <f>I10/H10</f>
        <v>1.0145238640324921</v>
      </c>
    </row>
    <row r="11" spans="2:12" ht="14.25" customHeight="1" x14ac:dyDescent="0.25">
      <c r="B11" s="6">
        <v>6</v>
      </c>
      <c r="C11" s="6"/>
      <c r="D11" s="6"/>
      <c r="E11" s="6"/>
      <c r="F11" s="6" t="s">
        <v>3</v>
      </c>
      <c r="G11" s="55">
        <v>5231244.191386289</v>
      </c>
      <c r="H11" s="77">
        <v>11944187.140000001</v>
      </c>
      <c r="I11" s="55">
        <f>I12+I28+I31+I35+I41+I46</f>
        <v>12117662.890000001</v>
      </c>
      <c r="J11" s="63">
        <f>I11/G11</f>
        <v>2.3164016908162717</v>
      </c>
      <c r="K11" s="63">
        <f>I11/H11</f>
        <v>1.0145238640324921</v>
      </c>
      <c r="L11" s="108"/>
    </row>
    <row r="12" spans="2:12" x14ac:dyDescent="0.25">
      <c r="B12" s="6"/>
      <c r="C12" s="11">
        <v>63</v>
      </c>
      <c r="D12" s="11"/>
      <c r="E12" s="11"/>
      <c r="F12" s="11" t="s">
        <v>12</v>
      </c>
      <c r="G12" s="62">
        <v>3445243.2955073328</v>
      </c>
      <c r="H12" s="77">
        <v>11369426.75</v>
      </c>
      <c r="I12" s="62">
        <f>I13+I16+I18+I21+I24</f>
        <v>6383421.6500000004</v>
      </c>
      <c r="J12" s="54">
        <f>I12/G12</f>
        <v>1.8528217320164622</v>
      </c>
      <c r="K12" s="54">
        <f>I12/H12</f>
        <v>0.56145501355202454</v>
      </c>
      <c r="L12" s="90"/>
    </row>
    <row r="13" spans="2:12" x14ac:dyDescent="0.25">
      <c r="B13" s="7"/>
      <c r="C13" s="7"/>
      <c r="D13" s="7">
        <v>631</v>
      </c>
      <c r="E13" s="7"/>
      <c r="F13" s="7" t="s">
        <v>21</v>
      </c>
      <c r="G13" s="54">
        <v>0</v>
      </c>
      <c r="H13" s="78">
        <v>133759.67000000001</v>
      </c>
      <c r="I13" s="54">
        <v>0</v>
      </c>
      <c r="J13" s="54">
        <v>0</v>
      </c>
      <c r="K13" s="54">
        <f t="shared" ref="K13:K43" si="0">I13/H13</f>
        <v>0</v>
      </c>
    </row>
    <row r="14" spans="2:12" x14ac:dyDescent="0.25">
      <c r="B14" s="7"/>
      <c r="C14" s="7"/>
      <c r="D14" s="7"/>
      <c r="E14" s="7">
        <v>6311</v>
      </c>
      <c r="F14" s="7" t="s">
        <v>22</v>
      </c>
      <c r="G14" s="63">
        <v>0</v>
      </c>
      <c r="H14" s="78">
        <v>0</v>
      </c>
      <c r="I14" s="54">
        <v>0</v>
      </c>
      <c r="J14" s="54">
        <v>0</v>
      </c>
      <c r="K14" s="54">
        <v>0</v>
      </c>
    </row>
    <row r="15" spans="2:12" x14ac:dyDescent="0.25">
      <c r="B15" s="7"/>
      <c r="C15" s="7"/>
      <c r="D15" s="7"/>
      <c r="E15" s="7">
        <v>6312</v>
      </c>
      <c r="F15" s="7" t="s">
        <v>146</v>
      </c>
      <c r="G15" s="54">
        <v>0</v>
      </c>
      <c r="H15" s="78">
        <v>133759.67000000001</v>
      </c>
      <c r="I15" s="54">
        <v>0</v>
      </c>
      <c r="J15" s="54">
        <v>0</v>
      </c>
      <c r="K15" s="54">
        <v>0</v>
      </c>
    </row>
    <row r="16" spans="2:12" x14ac:dyDescent="0.25">
      <c r="B16" s="7"/>
      <c r="C16" s="7"/>
      <c r="D16" s="7">
        <v>633</v>
      </c>
      <c r="E16" s="7"/>
      <c r="F16" s="7" t="s">
        <v>59</v>
      </c>
      <c r="G16" s="54">
        <v>27224.610790364321</v>
      </c>
      <c r="H16" s="78">
        <v>0</v>
      </c>
      <c r="I16" s="54">
        <v>0</v>
      </c>
      <c r="J16" s="54">
        <f t="shared" ref="J16:J43" si="1">I16/G16</f>
        <v>0</v>
      </c>
      <c r="K16" s="54">
        <v>0</v>
      </c>
    </row>
    <row r="17" spans="2:11" x14ac:dyDescent="0.25">
      <c r="B17" s="7"/>
      <c r="C17" s="7"/>
      <c r="D17" s="7"/>
      <c r="E17" s="7">
        <v>6331</v>
      </c>
      <c r="F17" s="7" t="s">
        <v>60</v>
      </c>
      <c r="G17" s="54">
        <v>27224.610790364321</v>
      </c>
      <c r="H17" s="78">
        <v>0</v>
      </c>
      <c r="I17" s="54">
        <v>0</v>
      </c>
      <c r="J17" s="54">
        <f t="shared" si="1"/>
        <v>0</v>
      </c>
      <c r="K17" s="54">
        <v>0</v>
      </c>
    </row>
    <row r="18" spans="2:11" x14ac:dyDescent="0.25">
      <c r="B18" s="7"/>
      <c r="C18" s="7"/>
      <c r="D18" s="7">
        <v>636</v>
      </c>
      <c r="E18" s="7"/>
      <c r="F18" s="7" t="s">
        <v>61</v>
      </c>
      <c r="G18" s="63">
        <v>1773439.4027473619</v>
      </c>
      <c r="H18" s="78">
        <f>H19+H20</f>
        <v>2147742.17</v>
      </c>
      <c r="I18" s="54">
        <f>SUM(I19:I20)</f>
        <v>2356751.65</v>
      </c>
      <c r="J18" s="54">
        <f t="shared" si="1"/>
        <v>1.3289158041424969</v>
      </c>
      <c r="K18" s="54">
        <f>I18/H18</f>
        <v>1.0973159082684492</v>
      </c>
    </row>
    <row r="19" spans="2:11" x14ac:dyDescent="0.25">
      <c r="B19" s="7"/>
      <c r="C19" s="7"/>
      <c r="D19" s="7"/>
      <c r="E19" s="7">
        <v>6361</v>
      </c>
      <c r="F19" s="7" t="s">
        <v>62</v>
      </c>
      <c r="G19" s="54">
        <v>1772416.343486628</v>
      </c>
      <c r="H19" s="78">
        <v>2143587.71</v>
      </c>
      <c r="I19" s="54">
        <v>2355908.34</v>
      </c>
      <c r="J19" s="54">
        <f>I19/G19</f>
        <v>1.3292070729643291</v>
      </c>
      <c r="K19" s="54">
        <f t="shared" si="0"/>
        <v>1.0990491916936769</v>
      </c>
    </row>
    <row r="20" spans="2:11" x14ac:dyDescent="0.25">
      <c r="B20" s="7"/>
      <c r="C20" s="7"/>
      <c r="D20" s="7"/>
      <c r="E20" s="7">
        <v>6362</v>
      </c>
      <c r="F20" s="7" t="s">
        <v>145</v>
      </c>
      <c r="G20" s="54">
        <v>1023.06</v>
      </c>
      <c r="H20" s="78">
        <v>4154.46</v>
      </c>
      <c r="I20" s="54">
        <v>843.31</v>
      </c>
      <c r="J20" s="63">
        <f t="shared" si="1"/>
        <v>0.82430160498895466</v>
      </c>
      <c r="K20" s="63">
        <f t="shared" si="0"/>
        <v>0.20298907679939149</v>
      </c>
    </row>
    <row r="21" spans="2:11" x14ac:dyDescent="0.25">
      <c r="B21" s="7"/>
      <c r="C21" s="7"/>
      <c r="D21" s="7">
        <v>638</v>
      </c>
      <c r="E21" s="7"/>
      <c r="F21" s="7" t="s">
        <v>57</v>
      </c>
      <c r="G21" s="63">
        <v>1583291.7154422987</v>
      </c>
      <c r="H21" s="78">
        <f>354989.56+8732934.85</f>
        <v>9087924.4100000001</v>
      </c>
      <c r="I21" s="54">
        <f>SUM(I22:I23)</f>
        <v>3995790.92</v>
      </c>
      <c r="J21" s="54">
        <f t="shared" si="1"/>
        <v>2.5237237591960495</v>
      </c>
      <c r="K21" s="54">
        <f t="shared" si="0"/>
        <v>0.43968135514014467</v>
      </c>
    </row>
    <row r="22" spans="2:11" x14ac:dyDescent="0.25">
      <c r="B22" s="7"/>
      <c r="C22" s="7"/>
      <c r="D22" s="7"/>
      <c r="E22" s="7">
        <v>6381</v>
      </c>
      <c r="F22" s="7" t="s">
        <v>121</v>
      </c>
      <c r="G22" s="54">
        <v>820486.73</v>
      </c>
      <c r="H22" s="78">
        <v>354989.56</v>
      </c>
      <c r="I22" s="54">
        <v>2783675.57</v>
      </c>
      <c r="J22" s="54">
        <f t="shared" si="1"/>
        <v>3.3927124817728616</v>
      </c>
      <c r="K22" s="54">
        <f t="shared" si="0"/>
        <v>7.8415702422347291</v>
      </c>
    </row>
    <row r="23" spans="2:11" x14ac:dyDescent="0.25">
      <c r="B23" s="7"/>
      <c r="C23" s="7"/>
      <c r="D23" s="7"/>
      <c r="E23" s="7">
        <v>6382</v>
      </c>
      <c r="F23" s="7" t="s">
        <v>63</v>
      </c>
      <c r="G23" s="54">
        <v>762804.98374145594</v>
      </c>
      <c r="H23" s="78">
        <v>8732934.8499999996</v>
      </c>
      <c r="I23" s="54">
        <v>1212115.3500000001</v>
      </c>
      <c r="J23" s="63">
        <f t="shared" si="1"/>
        <v>1.5890238997321926</v>
      </c>
      <c r="K23" s="63">
        <f t="shared" si="0"/>
        <v>0.13879816703315956</v>
      </c>
    </row>
    <row r="24" spans="2:11" x14ac:dyDescent="0.25">
      <c r="B24" s="7"/>
      <c r="C24" s="7"/>
      <c r="D24" s="7">
        <v>639</v>
      </c>
      <c r="E24" s="7"/>
      <c r="F24" s="7" t="s">
        <v>64</v>
      </c>
      <c r="G24" s="63">
        <v>61287.56652730771</v>
      </c>
      <c r="H24" s="78">
        <v>0</v>
      </c>
      <c r="I24" s="54">
        <f>SUM(I25:I26)</f>
        <v>30879.08</v>
      </c>
      <c r="J24" s="54">
        <f t="shared" si="1"/>
        <v>0.50383922465319786</v>
      </c>
      <c r="K24" s="54">
        <v>0</v>
      </c>
    </row>
    <row r="25" spans="2:11" x14ac:dyDescent="0.25">
      <c r="B25" s="7"/>
      <c r="C25" s="7"/>
      <c r="D25" s="7"/>
      <c r="E25" s="7">
        <v>6391</v>
      </c>
      <c r="F25" s="7" t="s">
        <v>65</v>
      </c>
      <c r="G25" s="54">
        <v>9193.5549804233851</v>
      </c>
      <c r="H25" s="78">
        <v>0</v>
      </c>
      <c r="I25" s="54">
        <v>4631.8599999999997</v>
      </c>
      <c r="J25" s="54">
        <f t="shared" si="1"/>
        <v>0.50381598955605433</v>
      </c>
      <c r="K25" s="54">
        <v>0</v>
      </c>
    </row>
    <row r="26" spans="2:11" x14ac:dyDescent="0.25">
      <c r="B26" s="7"/>
      <c r="C26" s="7"/>
      <c r="D26" s="7"/>
      <c r="E26" s="7">
        <v>6393</v>
      </c>
      <c r="F26" s="7" t="s">
        <v>66</v>
      </c>
      <c r="G26" s="54">
        <v>52094.011546884329</v>
      </c>
      <c r="H26" s="78">
        <v>0</v>
      </c>
      <c r="I26" s="54">
        <v>26247.22</v>
      </c>
      <c r="J26" s="63">
        <f t="shared" si="1"/>
        <v>0.50384332518484676</v>
      </c>
      <c r="K26" s="63">
        <v>0</v>
      </c>
    </row>
    <row r="27" spans="2:11" x14ac:dyDescent="0.25">
      <c r="B27" s="7"/>
      <c r="C27" s="7"/>
      <c r="D27" s="7"/>
      <c r="E27" s="7"/>
      <c r="F27" s="7" t="s">
        <v>67</v>
      </c>
      <c r="G27" s="63"/>
      <c r="H27" s="78"/>
      <c r="I27" s="54"/>
      <c r="J27" s="54"/>
      <c r="K27" s="54"/>
    </row>
    <row r="28" spans="2:11" x14ac:dyDescent="0.25">
      <c r="B28" s="7"/>
      <c r="C28" s="7">
        <v>64</v>
      </c>
      <c r="D28" s="7"/>
      <c r="E28" s="7"/>
      <c r="F28" s="7" t="s">
        <v>68</v>
      </c>
      <c r="G28" s="62">
        <v>7.4683124294910082</v>
      </c>
      <c r="H28" s="78">
        <v>0</v>
      </c>
      <c r="I28" s="62">
        <v>8.84</v>
      </c>
      <c r="J28" s="54">
        <f t="shared" si="1"/>
        <v>1.1836676737160121</v>
      </c>
      <c r="K28" s="54">
        <v>0</v>
      </c>
    </row>
    <row r="29" spans="2:11" x14ac:dyDescent="0.25">
      <c r="B29" s="7"/>
      <c r="C29" s="7"/>
      <c r="D29" s="7">
        <v>641</v>
      </c>
      <c r="E29" s="7"/>
      <c r="F29" s="7" t="s">
        <v>69</v>
      </c>
      <c r="G29" s="63">
        <v>7.4683124294910082</v>
      </c>
      <c r="H29" s="78">
        <v>0</v>
      </c>
      <c r="I29" s="54">
        <v>8.84</v>
      </c>
      <c r="J29" s="63">
        <f t="shared" si="1"/>
        <v>1.1836676737160121</v>
      </c>
      <c r="K29" s="63">
        <v>0</v>
      </c>
    </row>
    <row r="30" spans="2:11" x14ac:dyDescent="0.25">
      <c r="B30" s="7"/>
      <c r="C30" s="7"/>
      <c r="D30" s="7"/>
      <c r="E30" s="7">
        <v>6415</v>
      </c>
      <c r="F30" s="7" t="s">
        <v>70</v>
      </c>
      <c r="G30" s="54">
        <v>7.4683124294910082</v>
      </c>
      <c r="H30" s="78">
        <v>0</v>
      </c>
      <c r="I30" s="54">
        <v>8.84</v>
      </c>
      <c r="J30" s="54">
        <f t="shared" si="1"/>
        <v>1.1836676737160121</v>
      </c>
      <c r="K30" s="54">
        <v>0</v>
      </c>
    </row>
    <row r="31" spans="2:11" ht="14.25" customHeight="1" x14ac:dyDescent="0.25">
      <c r="B31" s="7"/>
      <c r="C31" s="7">
        <v>65</v>
      </c>
      <c r="D31" s="7"/>
      <c r="E31" s="7"/>
      <c r="F31" s="7" t="s">
        <v>71</v>
      </c>
      <c r="G31" s="55">
        <v>1965.6632822350521</v>
      </c>
      <c r="H31" s="78">
        <v>0</v>
      </c>
      <c r="I31" s="62">
        <v>3381.84</v>
      </c>
      <c r="J31" s="54">
        <f t="shared" si="1"/>
        <v>1.7204574306107443</v>
      </c>
      <c r="K31" s="54">
        <v>0</v>
      </c>
    </row>
    <row r="32" spans="2:11" x14ac:dyDescent="0.25">
      <c r="B32" s="7"/>
      <c r="C32" s="7"/>
      <c r="D32" s="7"/>
      <c r="E32" s="7"/>
      <c r="F32" s="7" t="s">
        <v>72</v>
      </c>
      <c r="G32" s="62"/>
      <c r="H32" s="78"/>
      <c r="I32" s="54"/>
      <c r="J32" s="63"/>
      <c r="K32" s="63"/>
    </row>
    <row r="33" spans="2:11" x14ac:dyDescent="0.25">
      <c r="B33" s="7"/>
      <c r="C33" s="7"/>
      <c r="D33" s="7">
        <v>652</v>
      </c>
      <c r="E33" s="7"/>
      <c r="F33" s="7" t="s">
        <v>73</v>
      </c>
      <c r="G33" s="54">
        <v>1965.6632822350521</v>
      </c>
      <c r="H33" s="78">
        <v>0</v>
      </c>
      <c r="I33" s="54">
        <v>3381.84</v>
      </c>
      <c r="J33" s="54">
        <f t="shared" si="1"/>
        <v>1.7204574306107443</v>
      </c>
      <c r="K33" s="54">
        <v>0</v>
      </c>
    </row>
    <row r="34" spans="2:11" x14ac:dyDescent="0.25">
      <c r="B34" s="7"/>
      <c r="C34" s="7"/>
      <c r="D34" s="7"/>
      <c r="E34" s="7">
        <v>6526</v>
      </c>
      <c r="F34" s="7" t="s">
        <v>74</v>
      </c>
      <c r="G34" s="63">
        <v>1965.6632822350521</v>
      </c>
      <c r="H34" s="78">
        <v>0</v>
      </c>
      <c r="I34" s="54">
        <v>3381.84</v>
      </c>
      <c r="J34" s="54">
        <f t="shared" si="1"/>
        <v>1.7204574306107443</v>
      </c>
      <c r="K34" s="54">
        <v>0</v>
      </c>
    </row>
    <row r="35" spans="2:11" x14ac:dyDescent="0.25">
      <c r="B35" s="7"/>
      <c r="C35" s="7">
        <v>66</v>
      </c>
      <c r="D35" s="8"/>
      <c r="E35" s="8"/>
      <c r="F35" s="11" t="s">
        <v>151</v>
      </c>
      <c r="G35" s="62">
        <v>81161.16796071404</v>
      </c>
      <c r="H35" s="76">
        <f>H36+H38</f>
        <v>192842.13</v>
      </c>
      <c r="I35" s="62">
        <f>I36+I39</f>
        <v>95932.599999999991</v>
      </c>
      <c r="J35" s="63">
        <f t="shared" si="1"/>
        <v>1.1820012255914805</v>
      </c>
      <c r="K35" s="63">
        <f t="shared" si="0"/>
        <v>0.49746702134020188</v>
      </c>
    </row>
    <row r="36" spans="2:11" x14ac:dyDescent="0.25">
      <c r="B36" s="7"/>
      <c r="C36" s="16"/>
      <c r="D36" s="7">
        <v>661</v>
      </c>
      <c r="E36" s="8"/>
      <c r="F36" s="11" t="s">
        <v>23</v>
      </c>
      <c r="G36" s="63">
        <v>80895.722343884787</v>
      </c>
      <c r="H36" s="78">
        <v>148379.99</v>
      </c>
      <c r="I36" s="54">
        <v>84800.98</v>
      </c>
      <c r="J36" s="54">
        <f t="shared" si="1"/>
        <v>1.0482752059436975</v>
      </c>
      <c r="K36" s="54">
        <f t="shared" si="0"/>
        <v>0.57151223692628639</v>
      </c>
    </row>
    <row r="37" spans="2:11" x14ac:dyDescent="0.25">
      <c r="B37" s="7"/>
      <c r="C37" s="16"/>
      <c r="D37" s="7"/>
      <c r="E37" s="7">
        <v>6615</v>
      </c>
      <c r="F37" s="11" t="s">
        <v>75</v>
      </c>
      <c r="G37" s="54">
        <v>80895.722343884787</v>
      </c>
      <c r="H37" s="78">
        <v>148379.99</v>
      </c>
      <c r="I37" s="54">
        <v>84318.28</v>
      </c>
      <c r="J37" s="54">
        <f t="shared" si="1"/>
        <v>1.0423082649730977</v>
      </c>
      <c r="K37" s="54">
        <f t="shared" si="0"/>
        <v>0.56825910286151116</v>
      </c>
    </row>
    <row r="38" spans="2:11" x14ac:dyDescent="0.25">
      <c r="B38" s="7"/>
      <c r="C38" s="16"/>
      <c r="D38" s="7">
        <v>663</v>
      </c>
      <c r="E38" s="7"/>
      <c r="F38" s="11" t="s">
        <v>76</v>
      </c>
      <c r="G38" s="54">
        <v>265.44561682925212</v>
      </c>
      <c r="H38" s="78">
        <f>3318.07+41144.07</f>
        <v>44462.14</v>
      </c>
      <c r="I38" s="54">
        <v>11131.62</v>
      </c>
      <c r="J38" s="63">
        <f>I38/G38</f>
        <v>41.935595445000004</v>
      </c>
      <c r="K38" s="63">
        <f t="shared" si="0"/>
        <v>0.2503617684618869</v>
      </c>
    </row>
    <row r="39" spans="2:11" x14ac:dyDescent="0.25">
      <c r="B39" s="7"/>
      <c r="C39" s="16"/>
      <c r="D39" s="8"/>
      <c r="E39" s="7">
        <v>6631</v>
      </c>
      <c r="F39" s="11" t="s">
        <v>77</v>
      </c>
      <c r="G39" s="63">
        <v>265.44561682925212</v>
      </c>
      <c r="H39" s="78">
        <v>0</v>
      </c>
      <c r="I39" s="54">
        <v>11131.62</v>
      </c>
      <c r="J39" s="54">
        <f t="shared" si="1"/>
        <v>41.935595445000004</v>
      </c>
      <c r="K39" s="54">
        <v>0</v>
      </c>
    </row>
    <row r="40" spans="2:11" x14ac:dyDescent="0.25">
      <c r="B40" s="7"/>
      <c r="C40" s="16"/>
      <c r="D40" s="8"/>
      <c r="E40" s="7">
        <v>6632</v>
      </c>
      <c r="F40" s="11" t="s">
        <v>147</v>
      </c>
      <c r="G40" s="70">
        <v>0</v>
      </c>
      <c r="H40" s="78">
        <f>3318.07+41144.07</f>
        <v>44462.14</v>
      </c>
      <c r="I40" s="54">
        <v>0</v>
      </c>
      <c r="J40" s="54">
        <v>0</v>
      </c>
      <c r="K40" s="54">
        <f t="shared" si="0"/>
        <v>0</v>
      </c>
    </row>
    <row r="41" spans="2:11" x14ac:dyDescent="0.25">
      <c r="B41" s="7"/>
      <c r="C41" s="7">
        <v>67</v>
      </c>
      <c r="D41" s="8"/>
      <c r="E41" s="8"/>
      <c r="F41" s="11" t="s">
        <v>58</v>
      </c>
      <c r="G41" s="62">
        <v>1702866.5963235779</v>
      </c>
      <c r="H41" s="76">
        <f>381918.26</f>
        <v>381918.26</v>
      </c>
      <c r="I41" s="62">
        <v>5634647.96</v>
      </c>
      <c r="J41" s="63">
        <f t="shared" si="1"/>
        <v>3.3089191908309106</v>
      </c>
      <c r="K41" s="63">
        <f t="shared" si="0"/>
        <v>14.753544279343961</v>
      </c>
    </row>
    <row r="42" spans="2:11" x14ac:dyDescent="0.25">
      <c r="B42" s="7"/>
      <c r="C42" s="7"/>
      <c r="D42" s="7">
        <v>671</v>
      </c>
      <c r="E42" s="8"/>
      <c r="F42" s="11" t="s">
        <v>78</v>
      </c>
      <c r="G42" s="63">
        <v>1702866.5963235779</v>
      </c>
      <c r="H42" s="78">
        <f t="shared" ref="H42:H43" si="2">381918.26</f>
        <v>381918.26</v>
      </c>
      <c r="I42" s="54">
        <v>5634647.96</v>
      </c>
      <c r="J42" s="54">
        <f t="shared" si="1"/>
        <v>3.3089191908309106</v>
      </c>
      <c r="K42" s="54">
        <f t="shared" si="0"/>
        <v>14.753544279343961</v>
      </c>
    </row>
    <row r="43" spans="2:11" x14ac:dyDescent="0.25">
      <c r="B43" s="7"/>
      <c r="C43" s="7"/>
      <c r="D43" s="8"/>
      <c r="E43" s="7">
        <v>6711</v>
      </c>
      <c r="F43" s="11" t="s">
        <v>78</v>
      </c>
      <c r="G43" s="54">
        <v>1702866.5963235779</v>
      </c>
      <c r="H43" s="78">
        <f t="shared" si="2"/>
        <v>381918.26</v>
      </c>
      <c r="I43" s="54">
        <v>5605904.7599999998</v>
      </c>
      <c r="J43" s="54">
        <f t="shared" si="1"/>
        <v>3.2920398885637479</v>
      </c>
      <c r="K43" s="54">
        <f t="shared" si="0"/>
        <v>14.678284196204705</v>
      </c>
    </row>
    <row r="44" spans="2:11" x14ac:dyDescent="0.25">
      <c r="B44" s="7"/>
      <c r="C44" s="7"/>
      <c r="D44" s="7"/>
      <c r="E44" s="7">
        <v>6712</v>
      </c>
      <c r="F44" s="11" t="s">
        <v>152</v>
      </c>
      <c r="G44" s="63"/>
      <c r="H44" s="78">
        <v>0</v>
      </c>
      <c r="I44" s="54">
        <v>28743.200000000001</v>
      </c>
      <c r="J44" s="54">
        <v>0</v>
      </c>
      <c r="K44" s="63">
        <v>0</v>
      </c>
    </row>
    <row r="45" spans="2:11" x14ac:dyDescent="0.25">
      <c r="B45" s="16"/>
      <c r="C45" s="7"/>
      <c r="D45" s="8"/>
      <c r="E45" s="8"/>
      <c r="F45" s="11" t="s">
        <v>153</v>
      </c>
      <c r="G45" s="30"/>
      <c r="H45" s="79"/>
      <c r="I45" s="54"/>
      <c r="J45" s="54"/>
      <c r="K45" s="54"/>
    </row>
    <row r="46" spans="2:11" x14ac:dyDescent="0.25">
      <c r="B46" s="16"/>
      <c r="C46" s="7">
        <v>68</v>
      </c>
      <c r="D46" s="8"/>
      <c r="E46" s="8"/>
      <c r="F46" s="11" t="s">
        <v>155</v>
      </c>
      <c r="G46" s="62">
        <v>0</v>
      </c>
      <c r="H46" s="76">
        <v>0</v>
      </c>
      <c r="I46" s="62">
        <v>270</v>
      </c>
      <c r="J46" s="54">
        <v>0</v>
      </c>
      <c r="K46" s="54">
        <v>0</v>
      </c>
    </row>
    <row r="47" spans="2:11" x14ac:dyDescent="0.25">
      <c r="B47" s="16"/>
      <c r="C47" s="7"/>
      <c r="D47" s="7">
        <v>683</v>
      </c>
      <c r="E47" s="8"/>
      <c r="F47" s="11" t="s">
        <v>154</v>
      </c>
      <c r="G47" s="62">
        <v>0</v>
      </c>
      <c r="H47" s="76">
        <v>0</v>
      </c>
      <c r="I47" s="54">
        <v>270</v>
      </c>
      <c r="J47" s="54">
        <v>0</v>
      </c>
      <c r="K47" s="63">
        <v>0</v>
      </c>
    </row>
    <row r="48" spans="2:11" x14ac:dyDescent="0.25">
      <c r="B48" s="56"/>
      <c r="C48" s="57"/>
      <c r="D48" s="58"/>
      <c r="E48" s="58"/>
      <c r="F48" s="59"/>
      <c r="G48" s="60"/>
      <c r="H48" s="60"/>
      <c r="I48" s="60"/>
      <c r="J48" s="61"/>
      <c r="K48" s="61"/>
    </row>
    <row r="49" spans="2:13" x14ac:dyDescent="0.25">
      <c r="B49" s="56"/>
      <c r="C49" s="57"/>
      <c r="D49" s="58"/>
      <c r="E49" s="58"/>
      <c r="F49" s="59"/>
      <c r="G49" s="60"/>
      <c r="H49" s="60"/>
      <c r="I49" s="60"/>
      <c r="J49" s="61"/>
      <c r="K49" s="61"/>
    </row>
    <row r="50" spans="2:13" ht="18" x14ac:dyDescent="0.25">
      <c r="B50" s="110"/>
      <c r="C50" s="110"/>
      <c r="D50" s="110"/>
      <c r="E50" s="110"/>
      <c r="F50" s="110"/>
      <c r="G50" s="110"/>
      <c r="H50" s="110"/>
      <c r="I50" s="110"/>
      <c r="J50" s="110"/>
    </row>
    <row r="51" spans="2:13" ht="36.75" customHeight="1" x14ac:dyDescent="0.25">
      <c r="B51" s="140" t="s">
        <v>8</v>
      </c>
      <c r="C51" s="141"/>
      <c r="D51" s="141"/>
      <c r="E51" s="141"/>
      <c r="F51" s="142"/>
      <c r="G51" s="31" t="s">
        <v>51</v>
      </c>
      <c r="H51" s="31" t="s">
        <v>43</v>
      </c>
      <c r="I51" s="31" t="s">
        <v>46</v>
      </c>
      <c r="J51" s="31" t="s">
        <v>14</v>
      </c>
      <c r="K51" s="31" t="s">
        <v>14</v>
      </c>
    </row>
    <row r="52" spans="2:13" x14ac:dyDescent="0.25">
      <c r="B52" s="137">
        <v>1</v>
      </c>
      <c r="C52" s="138"/>
      <c r="D52" s="138"/>
      <c r="E52" s="138"/>
      <c r="F52" s="139"/>
      <c r="G52" s="33">
        <v>2</v>
      </c>
      <c r="H52" s="33">
        <v>3</v>
      </c>
      <c r="I52" s="33">
        <v>5</v>
      </c>
      <c r="J52" s="33" t="s">
        <v>28</v>
      </c>
      <c r="K52" s="33" t="s">
        <v>28</v>
      </c>
    </row>
    <row r="53" spans="2:13" x14ac:dyDescent="0.25">
      <c r="B53" s="6"/>
      <c r="C53" s="6"/>
      <c r="D53" s="6"/>
      <c r="E53" s="6"/>
      <c r="F53" s="6" t="s">
        <v>32</v>
      </c>
      <c r="G53" s="64">
        <v>4637984.0613179402</v>
      </c>
      <c r="H53" s="80">
        <f>H54+H135</f>
        <v>11944187.140000001</v>
      </c>
      <c r="I53" s="69">
        <f>I54+I135</f>
        <v>12746547.319999998</v>
      </c>
      <c r="J53" s="54">
        <f>I53/G53</f>
        <v>2.7482947658897108</v>
      </c>
      <c r="K53" s="54">
        <f>I53/H53</f>
        <v>1.0671757877363597</v>
      </c>
    </row>
    <row r="54" spans="2:13" x14ac:dyDescent="0.25">
      <c r="B54" s="6">
        <v>3</v>
      </c>
      <c r="C54" s="6"/>
      <c r="D54" s="6"/>
      <c r="E54" s="6"/>
      <c r="F54" s="6" t="s">
        <v>4</v>
      </c>
      <c r="G54" s="64">
        <v>3870431.2044594898</v>
      </c>
      <c r="H54" s="80">
        <v>3814250.46</v>
      </c>
      <c r="I54" s="69">
        <v>6474341.1399999997</v>
      </c>
      <c r="J54" s="63">
        <f>I54/G54</f>
        <v>1.6727699829776845</v>
      </c>
      <c r="K54" s="63">
        <f>I54/H54</f>
        <v>1.6974084968714926</v>
      </c>
      <c r="L54" s="81"/>
    </row>
    <row r="55" spans="2:13" x14ac:dyDescent="0.25">
      <c r="B55" s="6"/>
      <c r="C55" s="11">
        <v>31</v>
      </c>
      <c r="D55" s="11"/>
      <c r="E55" s="11"/>
      <c r="F55" s="6" t="s">
        <v>5</v>
      </c>
      <c r="G55" s="64">
        <v>2086758.6183555601</v>
      </c>
      <c r="H55" s="80">
        <v>2405034.91</v>
      </c>
      <c r="I55" s="69">
        <v>2364467.2400000002</v>
      </c>
      <c r="J55" s="54">
        <f>I55/G55</f>
        <v>1.1330813344685187</v>
      </c>
      <c r="K55" s="54">
        <f>I55/H55</f>
        <v>0.98313219079219105</v>
      </c>
      <c r="L55" s="81"/>
    </row>
    <row r="56" spans="2:13" x14ac:dyDescent="0.25">
      <c r="B56" s="7"/>
      <c r="C56" s="7"/>
      <c r="D56" s="7">
        <v>311</v>
      </c>
      <c r="E56" s="7"/>
      <c r="F56" s="7" t="s">
        <v>24</v>
      </c>
      <c r="G56" s="65">
        <v>1732626.2857522063</v>
      </c>
      <c r="H56" s="82">
        <v>2034051.47</v>
      </c>
      <c r="I56" s="53">
        <v>1933611.56</v>
      </c>
      <c r="J56" s="54">
        <f>I56/G56</f>
        <v>1.116000360782093</v>
      </c>
      <c r="K56" s="54">
        <f>I56/H56</f>
        <v>0.95062076280695107</v>
      </c>
    </row>
    <row r="57" spans="2:13" x14ac:dyDescent="0.25">
      <c r="B57" s="7"/>
      <c r="C57" s="7"/>
      <c r="D57" s="7"/>
      <c r="E57" s="7">
        <v>3111</v>
      </c>
      <c r="F57" s="7" t="s">
        <v>25</v>
      </c>
      <c r="G57" s="65">
        <v>1732626.2857522063</v>
      </c>
      <c r="H57" s="82">
        <v>2034051.47</v>
      </c>
      <c r="I57" s="53">
        <v>1933611.56</v>
      </c>
      <c r="J57" s="54">
        <f>I57/G57</f>
        <v>1.116000360782093</v>
      </c>
      <c r="K57" s="54">
        <f t="shared" ref="K57:K120" si="3">I57/H57</f>
        <v>0.95062076280695107</v>
      </c>
    </row>
    <row r="58" spans="2:13" x14ac:dyDescent="0.25">
      <c r="B58" s="7"/>
      <c r="C58" s="7"/>
      <c r="D58" s="7">
        <v>312</v>
      </c>
      <c r="E58" s="7"/>
      <c r="F58" s="7" t="s">
        <v>79</v>
      </c>
      <c r="G58" s="65">
        <v>70042.412900656986</v>
      </c>
      <c r="H58" s="82">
        <v>66879.039999999979</v>
      </c>
      <c r="I58" s="53">
        <v>111417.64</v>
      </c>
      <c r="J58" s="54">
        <f t="shared" ref="J58:J121" si="4">I58/G58</f>
        <v>1.5907167584021784</v>
      </c>
      <c r="K58" s="63">
        <f t="shared" si="3"/>
        <v>1.6659575257061112</v>
      </c>
    </row>
    <row r="59" spans="2:13" x14ac:dyDescent="0.25">
      <c r="B59" s="7"/>
      <c r="C59" s="7"/>
      <c r="D59" s="7"/>
      <c r="E59" s="7">
        <v>3121</v>
      </c>
      <c r="F59" s="7" t="s">
        <v>79</v>
      </c>
      <c r="G59" s="65">
        <v>70042.412900656986</v>
      </c>
      <c r="H59" s="82">
        <v>66879.039999999979</v>
      </c>
      <c r="I59" s="53">
        <v>111417.64</v>
      </c>
      <c r="J59" s="54">
        <f t="shared" si="4"/>
        <v>1.5907167584021784</v>
      </c>
      <c r="K59" s="54">
        <f t="shared" si="3"/>
        <v>1.6659575257061112</v>
      </c>
    </row>
    <row r="60" spans="2:13" x14ac:dyDescent="0.25">
      <c r="B60" s="7"/>
      <c r="C60" s="7"/>
      <c r="D60" s="7">
        <v>313</v>
      </c>
      <c r="E60" s="7"/>
      <c r="F60" s="7" t="s">
        <v>80</v>
      </c>
      <c r="G60" s="65">
        <v>284089.91970270092</v>
      </c>
      <c r="H60" s="82">
        <f>H61+H62</f>
        <v>329921.52999999997</v>
      </c>
      <c r="I60" s="53">
        <v>319438.03999999998</v>
      </c>
      <c r="J60" s="54">
        <f t="shared" si="4"/>
        <v>1.1244258167776271</v>
      </c>
      <c r="K60" s="54">
        <f t="shared" si="3"/>
        <v>0.96822429260679055</v>
      </c>
    </row>
    <row r="61" spans="2:13" x14ac:dyDescent="0.25">
      <c r="B61" s="7"/>
      <c r="C61" s="7"/>
      <c r="D61" s="7"/>
      <c r="E61" s="7">
        <v>3132</v>
      </c>
      <c r="F61" s="7" t="s">
        <v>81</v>
      </c>
      <c r="G61" s="65">
        <v>283751.17260601232</v>
      </c>
      <c r="H61" s="82">
        <v>326012.84999999998</v>
      </c>
      <c r="I61" s="53">
        <v>319438.03999999998</v>
      </c>
      <c r="J61" s="54">
        <f t="shared" si="4"/>
        <v>1.1257681759205935</v>
      </c>
      <c r="K61" s="54">
        <f t="shared" si="3"/>
        <v>0.97983266610503239</v>
      </c>
    </row>
    <row r="62" spans="2:13" x14ac:dyDescent="0.25">
      <c r="B62" s="7"/>
      <c r="C62" s="7"/>
      <c r="D62" s="7"/>
      <c r="E62" s="7">
        <v>3133</v>
      </c>
      <c r="F62" s="7" t="s">
        <v>82</v>
      </c>
      <c r="G62" s="65">
        <v>338.74709668856593</v>
      </c>
      <c r="H62" s="82">
        <v>3908.68</v>
      </c>
      <c r="I62" s="53">
        <v>0</v>
      </c>
      <c r="J62" s="54">
        <f t="shared" si="4"/>
        <v>0</v>
      </c>
      <c r="K62" s="63">
        <f t="shared" si="3"/>
        <v>0</v>
      </c>
    </row>
    <row r="63" spans="2:13" x14ac:dyDescent="0.25">
      <c r="B63" s="7"/>
      <c r="C63" s="7"/>
      <c r="D63" s="7"/>
      <c r="E63" s="7"/>
      <c r="F63" s="7"/>
      <c r="G63" s="65"/>
      <c r="H63" s="83"/>
      <c r="I63" s="24"/>
      <c r="J63" s="63"/>
      <c r="K63" s="54"/>
    </row>
    <row r="64" spans="2:13" x14ac:dyDescent="0.25">
      <c r="B64" s="7"/>
      <c r="C64" s="7">
        <v>32</v>
      </c>
      <c r="D64" s="8"/>
      <c r="E64" s="8"/>
      <c r="F64" s="16" t="s">
        <v>11</v>
      </c>
      <c r="G64" s="64">
        <v>629262.200544163</v>
      </c>
      <c r="H64" s="80">
        <v>1255060.04</v>
      </c>
      <c r="I64" s="69">
        <v>832748.51</v>
      </c>
      <c r="J64" s="54">
        <f t="shared" si="4"/>
        <v>1.3233728472485229</v>
      </c>
      <c r="K64" s="54">
        <f t="shared" si="3"/>
        <v>0.6635128866026202</v>
      </c>
      <c r="M64" s="81"/>
    </row>
    <row r="65" spans="2:13" x14ac:dyDescent="0.25">
      <c r="B65" s="7"/>
      <c r="C65" s="7"/>
      <c r="D65" s="7">
        <v>321</v>
      </c>
      <c r="E65" s="7"/>
      <c r="F65" s="7" t="s">
        <v>26</v>
      </c>
      <c r="G65" s="65">
        <v>95535.174198686043</v>
      </c>
      <c r="H65" s="82">
        <f>SUM(H66:H69)</f>
        <v>231501.03</v>
      </c>
      <c r="I65" s="53">
        <v>130600.57</v>
      </c>
      <c r="J65" s="54">
        <f t="shared" si="4"/>
        <v>1.3670417319634325</v>
      </c>
      <c r="K65" s="54">
        <f t="shared" si="3"/>
        <v>0.56414682042667375</v>
      </c>
      <c r="M65" s="81"/>
    </row>
    <row r="66" spans="2:13" x14ac:dyDescent="0.25">
      <c r="B66" s="7"/>
      <c r="C66" s="16"/>
      <c r="D66" s="7"/>
      <c r="E66" s="7">
        <v>3211</v>
      </c>
      <c r="F66" s="19" t="s">
        <v>27</v>
      </c>
      <c r="G66" s="65">
        <v>8144.61609927666</v>
      </c>
      <c r="H66" s="82">
        <v>125540.70999999999</v>
      </c>
      <c r="I66" s="53">
        <v>32996.400000000001</v>
      </c>
      <c r="J66" s="63">
        <f t="shared" si="4"/>
        <v>4.0513143403935858</v>
      </c>
      <c r="K66" s="63">
        <f t="shared" si="3"/>
        <v>0.26283426308485913</v>
      </c>
    </row>
    <row r="67" spans="2:13" x14ac:dyDescent="0.25">
      <c r="B67" s="7"/>
      <c r="C67" s="16"/>
      <c r="D67" s="7"/>
      <c r="E67" s="7">
        <v>3212</v>
      </c>
      <c r="F67" s="19" t="s">
        <v>83</v>
      </c>
      <c r="G67" s="65">
        <v>57959.965492069809</v>
      </c>
      <c r="H67" s="82">
        <v>55203.91</v>
      </c>
      <c r="I67" s="53">
        <v>54572.09</v>
      </c>
      <c r="J67" s="54">
        <f t="shared" si="4"/>
        <v>0.9415480070889044</v>
      </c>
      <c r="K67" s="54">
        <f t="shared" si="3"/>
        <v>0.98855479620918141</v>
      </c>
    </row>
    <row r="68" spans="2:13" x14ac:dyDescent="0.25">
      <c r="B68" s="7"/>
      <c r="C68" s="16"/>
      <c r="D68" s="7"/>
      <c r="E68" s="7">
        <v>3213</v>
      </c>
      <c r="F68" s="19" t="s">
        <v>84</v>
      </c>
      <c r="G68" s="65">
        <v>27683.854270356358</v>
      </c>
      <c r="H68" s="82">
        <v>50056.41</v>
      </c>
      <c r="I68" s="53">
        <v>40584.800000000003</v>
      </c>
      <c r="J68" s="54">
        <f t="shared" si="4"/>
        <v>1.4660097399608794</v>
      </c>
      <c r="K68" s="54">
        <f t="shared" si="3"/>
        <v>0.81078127656378074</v>
      </c>
    </row>
    <row r="69" spans="2:13" x14ac:dyDescent="0.25">
      <c r="B69" s="7"/>
      <c r="C69" s="16"/>
      <c r="D69" s="7"/>
      <c r="E69" s="7">
        <v>3214</v>
      </c>
      <c r="F69" s="19" t="s">
        <v>85</v>
      </c>
      <c r="G69" s="65">
        <v>1746.7383369832103</v>
      </c>
      <c r="H69" s="85">
        <v>700</v>
      </c>
      <c r="I69" s="53">
        <f>2447.28</f>
        <v>2447.2800000000002</v>
      </c>
      <c r="J69" s="63">
        <f t="shared" si="4"/>
        <v>1.401057014771139</v>
      </c>
      <c r="K69" s="54">
        <f t="shared" si="3"/>
        <v>3.496114285714286</v>
      </c>
    </row>
    <row r="70" spans="2:13" x14ac:dyDescent="0.25">
      <c r="B70" s="24"/>
      <c r="C70" s="24"/>
      <c r="D70" s="24"/>
      <c r="E70" s="24"/>
      <c r="F70" s="24"/>
      <c r="G70" s="67"/>
      <c r="H70" s="86"/>
      <c r="I70" s="24"/>
      <c r="J70" s="54"/>
      <c r="K70" s="63"/>
    </row>
    <row r="71" spans="2:13" x14ac:dyDescent="0.25">
      <c r="B71" s="7"/>
      <c r="C71" s="16"/>
      <c r="D71" s="7">
        <v>322</v>
      </c>
      <c r="E71" s="7"/>
      <c r="F71" s="68" t="s">
        <v>86</v>
      </c>
      <c r="G71" s="65">
        <v>178267.24666533945</v>
      </c>
      <c r="H71" s="82">
        <f>SUM(H72:H77)</f>
        <v>314337.82999999996</v>
      </c>
      <c r="I71" s="53">
        <f>SUM(I72:I77)</f>
        <v>226065.67999999996</v>
      </c>
      <c r="J71" s="54">
        <f t="shared" si="4"/>
        <v>1.2681279608496583</v>
      </c>
      <c r="K71" s="54">
        <f t="shared" si="3"/>
        <v>0.71918063441489044</v>
      </c>
    </row>
    <row r="72" spans="2:13" x14ac:dyDescent="0.25">
      <c r="B72" s="7"/>
      <c r="C72" s="16"/>
      <c r="D72" s="7"/>
      <c r="E72" s="7">
        <v>3221</v>
      </c>
      <c r="F72" s="19" t="s">
        <v>87</v>
      </c>
      <c r="G72" s="65">
        <v>24762.485898201605</v>
      </c>
      <c r="H72" s="82">
        <v>147017.57999999999</v>
      </c>
      <c r="I72" s="53">
        <v>81152.789999999994</v>
      </c>
      <c r="J72" s="63">
        <f t="shared" si="4"/>
        <v>3.2772472979335965</v>
      </c>
      <c r="K72" s="54">
        <f t="shared" si="3"/>
        <v>0.55199378196811566</v>
      </c>
    </row>
    <row r="73" spans="2:13" x14ac:dyDescent="0.25">
      <c r="B73" s="7"/>
      <c r="C73" s="16"/>
      <c r="D73" s="7"/>
      <c r="E73" s="7">
        <v>3222</v>
      </c>
      <c r="F73" s="19" t="s">
        <v>88</v>
      </c>
      <c r="G73" s="65">
        <v>4231.7818037029665</v>
      </c>
      <c r="H73" s="82">
        <v>4000</v>
      </c>
      <c r="I73" s="53">
        <v>13260.54</v>
      </c>
      <c r="J73" s="54">
        <f t="shared" si="4"/>
        <v>3.1335594827683542</v>
      </c>
      <c r="K73" s="54">
        <f t="shared" si="3"/>
        <v>3.3151350000000002</v>
      </c>
    </row>
    <row r="74" spans="2:13" x14ac:dyDescent="0.25">
      <c r="B74" s="7"/>
      <c r="C74" s="16"/>
      <c r="D74" s="7"/>
      <c r="E74" s="7">
        <v>3223</v>
      </c>
      <c r="F74" s="19" t="s">
        <v>89</v>
      </c>
      <c r="G74" s="65">
        <v>134454.00225628776</v>
      </c>
      <c r="H74" s="82">
        <v>130026.64</v>
      </c>
      <c r="I74" s="53">
        <v>96431.56</v>
      </c>
      <c r="J74" s="54">
        <f t="shared" si="4"/>
        <v>0.71720855000052897</v>
      </c>
      <c r="K74" s="63">
        <f t="shared" si="3"/>
        <v>0.74162925382060163</v>
      </c>
    </row>
    <row r="75" spans="2:13" x14ac:dyDescent="0.25">
      <c r="B75" s="7"/>
      <c r="C75" s="16"/>
      <c r="D75" s="7"/>
      <c r="E75" s="7">
        <v>3224</v>
      </c>
      <c r="F75" s="19" t="s">
        <v>90</v>
      </c>
      <c r="G75" s="65">
        <v>8899.3801844847039</v>
      </c>
      <c r="H75" s="82">
        <v>23737.57</v>
      </c>
      <c r="I75" s="53">
        <v>21424.34</v>
      </c>
      <c r="J75" s="63">
        <f t="shared" si="4"/>
        <v>2.4073968698799355</v>
      </c>
      <c r="K75" s="54">
        <f t="shared" si="3"/>
        <v>0.90254983976877168</v>
      </c>
    </row>
    <row r="76" spans="2:13" x14ac:dyDescent="0.25">
      <c r="B76" s="7"/>
      <c r="C76" s="16"/>
      <c r="D76" s="7"/>
      <c r="E76" s="7">
        <v>3225</v>
      </c>
      <c r="F76" s="19" t="s">
        <v>91</v>
      </c>
      <c r="G76" s="65">
        <v>5307.3966421129471</v>
      </c>
      <c r="H76" s="82">
        <v>6105.25</v>
      </c>
      <c r="I76" s="53">
        <v>9484.9599999999991</v>
      </c>
      <c r="J76" s="54">
        <f t="shared" si="4"/>
        <v>1.7871210010457985</v>
      </c>
      <c r="K76" s="54">
        <f t="shared" si="3"/>
        <v>1.5535743827034108</v>
      </c>
    </row>
    <row r="77" spans="2:13" x14ac:dyDescent="0.25">
      <c r="B77" s="7"/>
      <c r="C77" s="16"/>
      <c r="D77" s="7"/>
      <c r="E77" s="7">
        <v>3227</v>
      </c>
      <c r="F77" s="19" t="s">
        <v>92</v>
      </c>
      <c r="G77" s="65">
        <v>612.19988054947237</v>
      </c>
      <c r="H77" s="82">
        <v>3450.79</v>
      </c>
      <c r="I77" s="53">
        <v>4311.49</v>
      </c>
      <c r="J77" s="54">
        <f t="shared" si="4"/>
        <v>7.0426181660314535</v>
      </c>
      <c r="K77" s="54">
        <f t="shared" si="3"/>
        <v>1.2494211470416918</v>
      </c>
    </row>
    <row r="78" spans="2:13" x14ac:dyDescent="0.25">
      <c r="B78" s="7"/>
      <c r="C78" s="16"/>
      <c r="D78" s="7"/>
      <c r="E78" s="7"/>
      <c r="F78" s="19"/>
      <c r="G78" s="65"/>
      <c r="H78" s="84"/>
      <c r="I78" s="24"/>
      <c r="J78" s="63"/>
      <c r="K78" s="63"/>
    </row>
    <row r="79" spans="2:13" x14ac:dyDescent="0.25">
      <c r="B79" s="7"/>
      <c r="C79" s="16"/>
      <c r="D79" s="7">
        <v>323</v>
      </c>
      <c r="E79" s="7"/>
      <c r="F79" s="68" t="s">
        <v>93</v>
      </c>
      <c r="G79" s="65">
        <v>312766.74630035169</v>
      </c>
      <c r="H79" s="82">
        <f>SUM(H81:H88)</f>
        <v>533970.84999999986</v>
      </c>
      <c r="I79" s="53">
        <f>SUM(I80:I88)</f>
        <v>440609.42</v>
      </c>
      <c r="J79" s="54">
        <f t="shared" si="4"/>
        <v>1.4087476536808048</v>
      </c>
      <c r="K79" s="54">
        <f t="shared" si="3"/>
        <v>0.82515631705363712</v>
      </c>
    </row>
    <row r="80" spans="2:13" x14ac:dyDescent="0.25">
      <c r="B80" s="7"/>
      <c r="C80" s="16"/>
      <c r="D80" s="7"/>
      <c r="E80" s="7">
        <v>3231</v>
      </c>
      <c r="F80" s="19" t="s">
        <v>94</v>
      </c>
      <c r="G80" s="65">
        <v>3800.7658106045519</v>
      </c>
      <c r="H80" s="82">
        <v>7366.12</v>
      </c>
      <c r="I80" s="53">
        <v>12257.06</v>
      </c>
      <c r="J80" s="54">
        <f t="shared" si="4"/>
        <v>3.2248921956205412</v>
      </c>
      <c r="K80" s="54">
        <f t="shared" si="3"/>
        <v>1.6639777793465216</v>
      </c>
    </row>
    <row r="81" spans="2:11" x14ac:dyDescent="0.25">
      <c r="B81" s="7"/>
      <c r="C81" s="16"/>
      <c r="D81" s="7"/>
      <c r="E81" s="7">
        <v>3232</v>
      </c>
      <c r="F81" s="19" t="s">
        <v>95</v>
      </c>
      <c r="G81" s="65">
        <v>65252.43745437653</v>
      </c>
      <c r="H81" s="82">
        <v>52533.93</v>
      </c>
      <c r="I81" s="53">
        <v>46160.4</v>
      </c>
      <c r="J81" s="63">
        <f t="shared" si="4"/>
        <v>0.70741265461960134</v>
      </c>
      <c r="K81" s="54">
        <f t="shared" si="3"/>
        <v>0.87867783735197424</v>
      </c>
    </row>
    <row r="82" spans="2:11" x14ac:dyDescent="0.25">
      <c r="B82" s="7"/>
      <c r="C82" s="16"/>
      <c r="D82" s="7"/>
      <c r="E82" s="7">
        <v>3233</v>
      </c>
      <c r="F82" s="19" t="s">
        <v>96</v>
      </c>
      <c r="G82" s="65">
        <v>11495.852412237042</v>
      </c>
      <c r="H82" s="82">
        <v>45049.34</v>
      </c>
      <c r="I82" s="53">
        <v>59479.92</v>
      </c>
      <c r="J82" s="54">
        <f t="shared" si="4"/>
        <v>5.1740330222650686</v>
      </c>
      <c r="K82" s="63">
        <f t="shared" si="3"/>
        <v>1.3203283333340734</v>
      </c>
    </row>
    <row r="83" spans="2:11" x14ac:dyDescent="0.25">
      <c r="B83" s="7"/>
      <c r="C83" s="16"/>
      <c r="D83" s="7"/>
      <c r="E83" s="7">
        <v>3234</v>
      </c>
      <c r="F83" s="19" t="s">
        <v>97</v>
      </c>
      <c r="G83" s="65">
        <v>13493.136903576878</v>
      </c>
      <c r="H83" s="82">
        <v>13608.66</v>
      </c>
      <c r="I83" s="53">
        <v>13752.69</v>
      </c>
      <c r="J83" s="54">
        <f t="shared" si="4"/>
        <v>1.0192359344070923</v>
      </c>
      <c r="K83" s="54">
        <f t="shared" si="3"/>
        <v>1.0105837018486759</v>
      </c>
    </row>
    <row r="84" spans="2:11" x14ac:dyDescent="0.25">
      <c r="B84" s="7"/>
      <c r="C84" s="16"/>
      <c r="D84" s="7"/>
      <c r="E84" s="7">
        <v>3235</v>
      </c>
      <c r="F84" s="19" t="s">
        <v>98</v>
      </c>
      <c r="G84" s="65">
        <v>2938.8532749352976</v>
      </c>
      <c r="H84" s="82">
        <v>3973.7200000000003</v>
      </c>
      <c r="I84" s="53">
        <v>2882.13</v>
      </c>
      <c r="J84" s="63">
        <f t="shared" si="4"/>
        <v>0.98069884079648506</v>
      </c>
      <c r="K84" s="54">
        <f t="shared" si="3"/>
        <v>0.72529770592794662</v>
      </c>
    </row>
    <row r="85" spans="2:11" x14ac:dyDescent="0.25">
      <c r="B85" s="7"/>
      <c r="C85" s="16"/>
      <c r="D85" s="7"/>
      <c r="E85" s="7">
        <v>3236</v>
      </c>
      <c r="F85" s="19" t="s">
        <v>99</v>
      </c>
      <c r="G85" s="65">
        <v>8039.6841197159729</v>
      </c>
      <c r="H85" s="82">
        <v>5429</v>
      </c>
      <c r="I85" s="53">
        <v>4972.8</v>
      </c>
      <c r="J85" s="54">
        <f t="shared" si="4"/>
        <v>0.61853176392901366</v>
      </c>
      <c r="K85" s="54">
        <f t="shared" si="3"/>
        <v>0.91596979185853755</v>
      </c>
    </row>
    <row r="86" spans="2:11" x14ac:dyDescent="0.25">
      <c r="B86" s="7"/>
      <c r="C86" s="16"/>
      <c r="D86" s="7"/>
      <c r="E86" s="7">
        <v>3237</v>
      </c>
      <c r="F86" s="19" t="s">
        <v>100</v>
      </c>
      <c r="G86" s="65">
        <v>197636.10325834493</v>
      </c>
      <c r="H86" s="82">
        <v>406740.06</v>
      </c>
      <c r="I86" s="53">
        <v>278073.34999999998</v>
      </c>
      <c r="J86" s="54">
        <f t="shared" si="4"/>
        <v>1.4069967248671642</v>
      </c>
      <c r="K86" s="63">
        <f t="shared" si="3"/>
        <v>0.68366354177161692</v>
      </c>
    </row>
    <row r="87" spans="2:11" x14ac:dyDescent="0.25">
      <c r="B87" s="7"/>
      <c r="C87" s="16"/>
      <c r="D87" s="7"/>
      <c r="E87" s="7">
        <v>3238</v>
      </c>
      <c r="F87" s="19" t="s">
        <v>101</v>
      </c>
      <c r="G87" s="65">
        <v>3693.7434468113343</v>
      </c>
      <c r="H87" s="82">
        <v>3318.0699999999997</v>
      </c>
      <c r="I87" s="53">
        <v>2944.42</v>
      </c>
      <c r="J87" s="54">
        <f t="shared" si="4"/>
        <v>0.79713711642366603</v>
      </c>
      <c r="K87" s="54">
        <f t="shared" si="3"/>
        <v>0.88738935586048528</v>
      </c>
    </row>
    <row r="88" spans="2:11" x14ac:dyDescent="0.25">
      <c r="B88" s="7"/>
      <c r="C88" s="16"/>
      <c r="D88" s="7"/>
      <c r="E88" s="7">
        <v>3239</v>
      </c>
      <c r="F88" s="19" t="s">
        <v>102</v>
      </c>
      <c r="G88" s="65">
        <v>6416.1696197491528</v>
      </c>
      <c r="H88" s="82">
        <v>3318.07</v>
      </c>
      <c r="I88" s="53">
        <v>20086.650000000001</v>
      </c>
      <c r="J88" s="54">
        <f t="shared" si="4"/>
        <v>3.1306295173638676</v>
      </c>
      <c r="K88" s="54">
        <f t="shared" si="3"/>
        <v>6.0537149608055287</v>
      </c>
    </row>
    <row r="89" spans="2:11" x14ac:dyDescent="0.25">
      <c r="B89" s="7"/>
      <c r="C89" s="16"/>
      <c r="D89" s="7"/>
      <c r="E89" s="7"/>
      <c r="F89" s="19"/>
      <c r="G89" s="65"/>
      <c r="H89" s="83"/>
      <c r="I89" s="24"/>
      <c r="J89" s="54"/>
      <c r="K89" s="54"/>
    </row>
    <row r="90" spans="2:11" x14ac:dyDescent="0.25">
      <c r="B90" s="7"/>
      <c r="C90" s="16"/>
      <c r="D90" s="7">
        <v>324</v>
      </c>
      <c r="E90" s="7"/>
      <c r="F90" s="68" t="s">
        <v>103</v>
      </c>
      <c r="G90" s="65">
        <v>115.33612051231003</v>
      </c>
      <c r="H90" s="83" t="s">
        <v>55</v>
      </c>
      <c r="I90" s="53">
        <v>0</v>
      </c>
      <c r="J90" s="54">
        <f t="shared" si="4"/>
        <v>0</v>
      </c>
      <c r="K90" s="54">
        <v>0</v>
      </c>
    </row>
    <row r="91" spans="2:11" x14ac:dyDescent="0.25">
      <c r="B91" s="7"/>
      <c r="C91" s="16"/>
      <c r="D91" s="7"/>
      <c r="E91" s="7">
        <v>3241</v>
      </c>
      <c r="F91" s="19" t="s">
        <v>103</v>
      </c>
      <c r="G91" s="65">
        <v>115.33612051231003</v>
      </c>
      <c r="H91" s="83" t="s">
        <v>55</v>
      </c>
      <c r="I91" s="53">
        <v>0</v>
      </c>
      <c r="J91" s="54">
        <f t="shared" si="4"/>
        <v>0</v>
      </c>
      <c r="K91" s="54">
        <v>0</v>
      </c>
    </row>
    <row r="92" spans="2:11" x14ac:dyDescent="0.25">
      <c r="B92" s="7"/>
      <c r="C92" s="16"/>
      <c r="D92" s="7"/>
      <c r="E92" s="7"/>
      <c r="F92" s="19"/>
      <c r="G92" s="65"/>
      <c r="H92" s="83"/>
      <c r="I92" s="24"/>
      <c r="J92" s="63"/>
      <c r="K92" s="54"/>
    </row>
    <row r="93" spans="2:11" x14ac:dyDescent="0.25">
      <c r="B93" s="7"/>
      <c r="C93" s="16"/>
      <c r="D93" s="7">
        <v>329</v>
      </c>
      <c r="E93" s="7"/>
      <c r="F93" s="68" t="s">
        <v>104</v>
      </c>
      <c r="G93" s="65">
        <v>42577.697259273998</v>
      </c>
      <c r="H93" s="82">
        <f>SUM(H94:H99)</f>
        <v>88475.87000000001</v>
      </c>
      <c r="I93" s="53">
        <v>35472.839999999997</v>
      </c>
      <c r="J93" s="54">
        <f t="shared" si="4"/>
        <v>0.83313195131222206</v>
      </c>
      <c r="K93" s="54">
        <f t="shared" si="3"/>
        <v>0.40093236720927405</v>
      </c>
    </row>
    <row r="94" spans="2:11" x14ac:dyDescent="0.25">
      <c r="B94" s="7"/>
      <c r="C94" s="16"/>
      <c r="D94" s="7"/>
      <c r="E94" s="7">
        <v>3291</v>
      </c>
      <c r="F94" s="19" t="s">
        <v>105</v>
      </c>
      <c r="G94" s="65">
        <v>1121.6271816311632</v>
      </c>
      <c r="H94" s="82">
        <v>2188.63</v>
      </c>
      <c r="I94" s="53">
        <v>1792.69</v>
      </c>
      <c r="J94" s="54">
        <f t="shared" si="4"/>
        <v>1.5982940047805561</v>
      </c>
      <c r="K94" s="63">
        <f t="shared" si="3"/>
        <v>0.81909230888729478</v>
      </c>
    </row>
    <row r="95" spans="2:11" x14ac:dyDescent="0.25">
      <c r="B95" s="7"/>
      <c r="C95" s="16"/>
      <c r="D95" s="7"/>
      <c r="E95" s="7">
        <v>3293</v>
      </c>
      <c r="F95" s="19" t="s">
        <v>106</v>
      </c>
      <c r="G95" s="65">
        <v>20065.861039219591</v>
      </c>
      <c r="H95" s="82">
        <v>71767.210000000006</v>
      </c>
      <c r="I95" s="53">
        <v>21623.99</v>
      </c>
      <c r="J95" s="54">
        <f t="shared" si="4"/>
        <v>1.0776507401170068</v>
      </c>
      <c r="K95" s="54">
        <f t="shared" si="3"/>
        <v>0.30130737979085437</v>
      </c>
    </row>
    <row r="96" spans="2:11" x14ac:dyDescent="0.25">
      <c r="B96" s="7"/>
      <c r="C96" s="16"/>
      <c r="D96" s="7"/>
      <c r="E96" s="7">
        <v>3294</v>
      </c>
      <c r="F96" s="19" t="s">
        <v>107</v>
      </c>
      <c r="G96" s="65">
        <v>72.997544628044324</v>
      </c>
      <c r="H96" s="82">
        <f>132.72+53.09</f>
        <v>185.81</v>
      </c>
      <c r="I96" s="53">
        <v>164.81</v>
      </c>
      <c r="J96" s="54">
        <f t="shared" si="4"/>
        <v>2.2577471727272731</v>
      </c>
      <c r="K96" s="54">
        <f t="shared" si="3"/>
        <v>0.88698132500941818</v>
      </c>
    </row>
    <row r="97" spans="2:11" x14ac:dyDescent="0.25">
      <c r="B97" s="7"/>
      <c r="C97" s="16"/>
      <c r="D97" s="8"/>
      <c r="E97" s="7">
        <v>3295</v>
      </c>
      <c r="F97" s="7" t="s">
        <v>108</v>
      </c>
      <c r="G97" s="65">
        <v>4720.8016457628237</v>
      </c>
      <c r="H97" s="82">
        <v>716.7</v>
      </c>
      <c r="I97" s="53">
        <v>4727</v>
      </c>
      <c r="J97" s="54">
        <f t="shared" si="4"/>
        <v>1.0013129876453801</v>
      </c>
      <c r="K97" s="54">
        <f t="shared" si="3"/>
        <v>6.5955071857122922</v>
      </c>
    </row>
    <row r="98" spans="2:11" x14ac:dyDescent="0.25">
      <c r="B98" s="7"/>
      <c r="C98" s="16"/>
      <c r="D98" s="8"/>
      <c r="E98" s="7">
        <v>3296</v>
      </c>
      <c r="F98" s="7" t="s">
        <v>109</v>
      </c>
      <c r="G98" s="65">
        <v>12411.657044263056</v>
      </c>
      <c r="H98" s="82">
        <v>7500</v>
      </c>
      <c r="I98" s="71" t="s">
        <v>55</v>
      </c>
      <c r="J98" s="54">
        <v>0</v>
      </c>
      <c r="K98" s="63">
        <v>0</v>
      </c>
    </row>
    <row r="99" spans="2:11" x14ac:dyDescent="0.25">
      <c r="B99" s="7"/>
      <c r="C99" s="16"/>
      <c r="D99" s="8"/>
      <c r="E99" s="7">
        <v>3299</v>
      </c>
      <c r="F99" s="7" t="s">
        <v>104</v>
      </c>
      <c r="G99" s="65">
        <v>4184.7528037693273</v>
      </c>
      <c r="H99" s="82">
        <v>6117.52</v>
      </c>
      <c r="I99" s="53">
        <v>7164.35</v>
      </c>
      <c r="J99" s="54">
        <f t="shared" si="4"/>
        <v>1.7120127128051301</v>
      </c>
      <c r="K99" s="54">
        <f t="shared" si="3"/>
        <v>1.1711199963383854</v>
      </c>
    </row>
    <row r="100" spans="2:11" x14ac:dyDescent="0.25">
      <c r="B100" s="7"/>
      <c r="C100" s="16"/>
      <c r="D100" s="8"/>
      <c r="E100" s="7"/>
      <c r="F100" s="8"/>
      <c r="G100" s="65"/>
      <c r="H100" s="83"/>
      <c r="I100" s="24"/>
      <c r="J100" s="54"/>
      <c r="K100" s="54"/>
    </row>
    <row r="101" spans="2:11" x14ac:dyDescent="0.25">
      <c r="B101" s="7"/>
      <c r="C101" s="16">
        <v>34</v>
      </c>
      <c r="D101" s="8"/>
      <c r="E101" s="7"/>
      <c r="F101" s="16" t="s">
        <v>110</v>
      </c>
      <c r="G101" s="64">
        <v>8853.4859645630095</v>
      </c>
      <c r="H101" s="80">
        <v>7123.56</v>
      </c>
      <c r="I101" s="69">
        <f>I102</f>
        <v>2599.12</v>
      </c>
      <c r="J101" s="63">
        <f t="shared" si="4"/>
        <v>0.29357024006173904</v>
      </c>
      <c r="K101" s="54">
        <f t="shared" si="3"/>
        <v>0.3648625125639427</v>
      </c>
    </row>
    <row r="102" spans="2:11" x14ac:dyDescent="0.25">
      <c r="B102" s="7"/>
      <c r="C102" s="16"/>
      <c r="D102" s="7">
        <v>343</v>
      </c>
      <c r="E102" s="7"/>
      <c r="F102" s="7" t="s">
        <v>111</v>
      </c>
      <c r="G102" s="65">
        <v>8853.4859645630095</v>
      </c>
      <c r="H102" s="83" t="s">
        <v>55</v>
      </c>
      <c r="I102" s="53">
        <f>SUM(I103:I105)</f>
        <v>2599.12</v>
      </c>
      <c r="J102" s="54">
        <f t="shared" si="4"/>
        <v>0.29357024006173904</v>
      </c>
      <c r="K102" s="63">
        <v>0</v>
      </c>
    </row>
    <row r="103" spans="2:11" x14ac:dyDescent="0.25">
      <c r="B103" s="7"/>
      <c r="C103" s="16"/>
      <c r="D103" s="8"/>
      <c r="E103" s="7">
        <v>3431</v>
      </c>
      <c r="F103" s="7" t="s">
        <v>112</v>
      </c>
      <c r="G103" s="65">
        <v>2042.3279580595924</v>
      </c>
      <c r="H103" s="82">
        <v>2123.56</v>
      </c>
      <c r="I103" s="53">
        <v>2599.12</v>
      </c>
      <c r="J103" s="54">
        <f t="shared" si="4"/>
        <v>1.2726261664994358</v>
      </c>
      <c r="K103" s="54">
        <f t="shared" si="3"/>
        <v>1.2239446966414889</v>
      </c>
    </row>
    <row r="104" spans="2:11" x14ac:dyDescent="0.25">
      <c r="B104" s="7"/>
      <c r="C104" s="16"/>
      <c r="D104" s="8"/>
      <c r="E104" s="7">
        <v>3432</v>
      </c>
      <c r="F104" s="7" t="s">
        <v>113</v>
      </c>
      <c r="G104" s="65">
        <v>9.2401619218262656</v>
      </c>
      <c r="H104" s="83" t="s">
        <v>55</v>
      </c>
      <c r="I104" s="71" t="s">
        <v>55</v>
      </c>
      <c r="J104" s="63">
        <v>0</v>
      </c>
      <c r="K104" s="54">
        <v>0</v>
      </c>
    </row>
    <row r="105" spans="2:11" x14ac:dyDescent="0.25">
      <c r="B105" s="7"/>
      <c r="C105" s="16"/>
      <c r="D105" s="8"/>
      <c r="E105" s="7">
        <v>3433</v>
      </c>
      <c r="F105" s="7" t="s">
        <v>114</v>
      </c>
      <c r="G105" s="65">
        <v>6801.9178445815915</v>
      </c>
      <c r="H105" s="82">
        <v>5000</v>
      </c>
      <c r="I105" s="71" t="s">
        <v>55</v>
      </c>
      <c r="J105" s="54">
        <v>0</v>
      </c>
      <c r="K105" s="54">
        <v>0</v>
      </c>
    </row>
    <row r="106" spans="2:11" x14ac:dyDescent="0.25">
      <c r="B106" s="7"/>
      <c r="C106" s="16"/>
      <c r="D106" s="8"/>
      <c r="E106" s="7"/>
      <c r="F106" s="7"/>
      <c r="G106" s="65"/>
      <c r="H106" s="83"/>
      <c r="I106" s="71"/>
      <c r="J106" s="54"/>
      <c r="K106" s="63"/>
    </row>
    <row r="107" spans="2:11" x14ac:dyDescent="0.25">
      <c r="B107" s="7"/>
      <c r="C107" s="16">
        <v>35</v>
      </c>
      <c r="D107" s="8"/>
      <c r="E107" s="7"/>
      <c r="F107" s="16" t="s">
        <v>115</v>
      </c>
      <c r="G107" s="64">
        <v>48023.260999402744</v>
      </c>
      <c r="H107" s="69">
        <v>0</v>
      </c>
      <c r="I107" s="69">
        <v>42062.04</v>
      </c>
      <c r="J107" s="63">
        <f t="shared" si="4"/>
        <v>0.87586805070407692</v>
      </c>
      <c r="K107" s="54">
        <v>0</v>
      </c>
    </row>
    <row r="108" spans="2:11" x14ac:dyDescent="0.25">
      <c r="B108" s="7"/>
      <c r="C108" s="16"/>
      <c r="D108" s="7">
        <v>352</v>
      </c>
      <c r="E108" s="7"/>
      <c r="F108" s="7" t="s">
        <v>116</v>
      </c>
      <c r="G108" s="65">
        <v>7203.4906098613037</v>
      </c>
      <c r="H108" s="53">
        <v>0</v>
      </c>
      <c r="I108" s="53">
        <v>0</v>
      </c>
      <c r="J108" s="54">
        <f t="shared" si="4"/>
        <v>0</v>
      </c>
      <c r="K108" s="54">
        <v>0</v>
      </c>
    </row>
    <row r="109" spans="2:11" x14ac:dyDescent="0.25">
      <c r="B109" s="7"/>
      <c r="C109" s="16"/>
      <c r="D109" s="7"/>
      <c r="E109" s="7"/>
      <c r="F109" s="7" t="s">
        <v>117</v>
      </c>
      <c r="G109" s="65"/>
      <c r="H109" s="53"/>
      <c r="I109" s="53"/>
      <c r="J109" s="54"/>
      <c r="K109" s="54"/>
    </row>
    <row r="110" spans="2:11" x14ac:dyDescent="0.25">
      <c r="B110" s="7"/>
      <c r="C110" s="16"/>
      <c r="D110" s="7"/>
      <c r="E110" s="7">
        <v>3522</v>
      </c>
      <c r="F110" s="7" t="s">
        <v>118</v>
      </c>
      <c r="G110" s="65">
        <v>7203.4906098613037</v>
      </c>
      <c r="H110" s="53">
        <v>0</v>
      </c>
      <c r="I110" s="53">
        <v>0</v>
      </c>
      <c r="J110" s="63">
        <f t="shared" si="4"/>
        <v>0</v>
      </c>
      <c r="K110" s="63">
        <v>0</v>
      </c>
    </row>
    <row r="111" spans="2:11" x14ac:dyDescent="0.25">
      <c r="B111" s="7"/>
      <c r="C111" s="16"/>
      <c r="D111" s="7"/>
      <c r="E111" s="7"/>
      <c r="F111" s="7"/>
      <c r="G111" s="65"/>
      <c r="H111" s="53"/>
      <c r="I111" s="24"/>
      <c r="J111" s="54"/>
      <c r="K111" s="54"/>
    </row>
    <row r="112" spans="2:11" x14ac:dyDescent="0.25">
      <c r="B112" s="7"/>
      <c r="C112" s="16"/>
      <c r="D112" s="7">
        <v>353</v>
      </c>
      <c r="E112" s="7">
        <v>3531</v>
      </c>
      <c r="F112" s="7" t="s">
        <v>116</v>
      </c>
      <c r="G112" s="65">
        <v>40819.770389541438</v>
      </c>
      <c r="H112" s="53">
        <v>0</v>
      </c>
      <c r="I112" s="53">
        <v>42062.04</v>
      </c>
      <c r="J112" s="54">
        <f t="shared" si="4"/>
        <v>1.030433037682565</v>
      </c>
      <c r="K112" s="54">
        <v>0</v>
      </c>
    </row>
    <row r="113" spans="2:13" x14ac:dyDescent="0.25">
      <c r="B113" s="7"/>
      <c r="C113" s="16"/>
      <c r="D113" s="7"/>
      <c r="E113" s="7"/>
      <c r="F113" s="7" t="s">
        <v>119</v>
      </c>
      <c r="G113" s="65"/>
      <c r="H113" s="83"/>
      <c r="I113" s="24"/>
      <c r="J113" s="63"/>
      <c r="K113" s="54"/>
    </row>
    <row r="114" spans="2:13" ht="15.75" customHeight="1" x14ac:dyDescent="0.25">
      <c r="B114" s="7"/>
      <c r="C114" s="16"/>
      <c r="D114" s="7"/>
      <c r="E114" s="7"/>
      <c r="F114" s="7"/>
      <c r="G114" s="65"/>
      <c r="H114" s="83"/>
      <c r="I114" s="24"/>
      <c r="J114" s="54"/>
      <c r="K114" s="63"/>
    </row>
    <row r="115" spans="2:13" x14ac:dyDescent="0.25">
      <c r="B115" s="7"/>
      <c r="C115" s="16">
        <v>36</v>
      </c>
      <c r="D115" s="7"/>
      <c r="E115" s="7"/>
      <c r="F115" s="16" t="s">
        <v>120</v>
      </c>
      <c r="G115" s="64">
        <v>835917.885725662</v>
      </c>
      <c r="H115" s="80">
        <v>143050.26999999999</v>
      </c>
      <c r="I115" s="80">
        <v>2968036.49</v>
      </c>
      <c r="J115" s="54">
        <f t="shared" si="4"/>
        <v>3.550631635813656</v>
      </c>
      <c r="K115" s="54">
        <f t="shared" si="3"/>
        <v>20.748206137604637</v>
      </c>
      <c r="L115" s="81"/>
      <c r="M115" s="81"/>
    </row>
    <row r="116" spans="2:13" x14ac:dyDescent="0.25">
      <c r="B116" s="7"/>
      <c r="C116" s="16"/>
      <c r="D116" s="7">
        <v>368</v>
      </c>
      <c r="E116" s="7"/>
      <c r="F116" s="7" t="s">
        <v>121</v>
      </c>
      <c r="G116" s="65">
        <v>79398.112681664337</v>
      </c>
      <c r="H116" s="82">
        <f>9290.6</f>
        <v>9290.6</v>
      </c>
      <c r="I116" s="82">
        <v>99009.61</v>
      </c>
      <c r="J116" s="63">
        <f t="shared" si="4"/>
        <v>1.2470020590661295</v>
      </c>
      <c r="K116" s="54">
        <f t="shared" si="3"/>
        <v>10.656966180870988</v>
      </c>
    </row>
    <row r="117" spans="2:13" x14ac:dyDescent="0.25">
      <c r="B117" s="7"/>
      <c r="C117" s="16"/>
      <c r="D117" s="7"/>
      <c r="E117" s="7">
        <v>3681</v>
      </c>
      <c r="F117" s="7" t="s">
        <v>57</v>
      </c>
      <c r="G117" s="65">
        <v>79398.112681664337</v>
      </c>
      <c r="H117" s="82">
        <f>9290.6</f>
        <v>9290.6</v>
      </c>
      <c r="I117" s="82">
        <v>99009.61</v>
      </c>
      <c r="J117" s="54">
        <f t="shared" si="4"/>
        <v>1.2470020590661295</v>
      </c>
      <c r="K117" s="54">
        <f t="shared" si="3"/>
        <v>10.656966180870988</v>
      </c>
    </row>
    <row r="118" spans="2:13" x14ac:dyDescent="0.25">
      <c r="B118" s="7"/>
      <c r="C118" s="16"/>
      <c r="D118" s="7"/>
      <c r="E118" s="7"/>
      <c r="F118" s="7"/>
      <c r="G118" s="65"/>
      <c r="H118" s="83"/>
      <c r="I118" s="83"/>
      <c r="J118" s="54"/>
      <c r="K118" s="63"/>
    </row>
    <row r="119" spans="2:13" x14ac:dyDescent="0.25">
      <c r="B119" s="7"/>
      <c r="C119" s="16"/>
      <c r="D119" s="7">
        <v>369</v>
      </c>
      <c r="E119" s="7"/>
      <c r="F119" s="16" t="s">
        <v>122</v>
      </c>
      <c r="G119" s="102">
        <v>756519.77304399759</v>
      </c>
      <c r="H119" s="82">
        <f>H120+H121</f>
        <v>133759.67000000001</v>
      </c>
      <c r="I119" s="82">
        <f>I120+I121</f>
        <v>2869026.88</v>
      </c>
      <c r="J119" s="63">
        <f t="shared" si="4"/>
        <v>3.7924017087563202</v>
      </c>
      <c r="K119" s="54">
        <f t="shared" si="3"/>
        <v>21.449117510532133</v>
      </c>
      <c r="L119" s="81"/>
    </row>
    <row r="120" spans="2:13" x14ac:dyDescent="0.25">
      <c r="B120" s="7"/>
      <c r="C120" s="16"/>
      <c r="D120" s="7"/>
      <c r="E120" s="7">
        <v>3691</v>
      </c>
      <c r="F120" s="7" t="s">
        <v>123</v>
      </c>
      <c r="G120" s="102">
        <v>17741.915190125423</v>
      </c>
      <c r="H120" s="82">
        <v>20063.95</v>
      </c>
      <c r="I120" s="82">
        <v>35431.370000000003</v>
      </c>
      <c r="J120" s="54">
        <f t="shared" si="4"/>
        <v>1.997043138821899</v>
      </c>
      <c r="K120" s="54">
        <f t="shared" si="3"/>
        <v>1.7659219645184523</v>
      </c>
    </row>
    <row r="121" spans="2:13" x14ac:dyDescent="0.25">
      <c r="B121" s="7"/>
      <c r="C121" s="16"/>
      <c r="D121" s="7"/>
      <c r="E121" s="7">
        <v>3693</v>
      </c>
      <c r="F121" s="7" t="s">
        <v>124</v>
      </c>
      <c r="G121" s="102">
        <v>738777.85785387212</v>
      </c>
      <c r="H121" s="82">
        <v>113695.72</v>
      </c>
      <c r="I121" s="82">
        <v>2833595.51</v>
      </c>
      <c r="J121" s="54">
        <f t="shared" si="4"/>
        <v>3.8355176456310036</v>
      </c>
      <c r="K121" s="54">
        <f t="shared" ref="K121:K158" si="5">I121/H121</f>
        <v>24.922622505051198</v>
      </c>
    </row>
    <row r="122" spans="2:13" x14ac:dyDescent="0.25">
      <c r="B122" s="7"/>
      <c r="C122" s="16"/>
      <c r="D122" s="7"/>
      <c r="E122" s="7"/>
      <c r="F122" s="7" t="s">
        <v>67</v>
      </c>
      <c r="G122" s="65"/>
      <c r="H122" s="83"/>
      <c r="I122" s="24"/>
      <c r="J122" s="63"/>
      <c r="K122" s="63"/>
    </row>
    <row r="123" spans="2:13" x14ac:dyDescent="0.25">
      <c r="B123" s="7"/>
      <c r="C123" s="16"/>
      <c r="D123" s="7"/>
      <c r="E123" s="7"/>
      <c r="F123" s="7"/>
      <c r="G123" s="65"/>
      <c r="H123" s="83"/>
      <c r="I123" s="24"/>
      <c r="J123" s="54"/>
      <c r="K123" s="54"/>
    </row>
    <row r="124" spans="2:13" x14ac:dyDescent="0.25">
      <c r="B124" s="7"/>
      <c r="C124" s="16">
        <v>37</v>
      </c>
      <c r="D124" s="7"/>
      <c r="E124" s="7"/>
      <c r="F124" s="16" t="s">
        <v>125</v>
      </c>
      <c r="G124" s="64">
        <v>3067.7815382573494</v>
      </c>
      <c r="H124" s="80">
        <v>3981.68</v>
      </c>
      <c r="I124" s="69">
        <v>0</v>
      </c>
      <c r="J124" s="54">
        <f t="shared" ref="J124:J158" si="6">I124/G124</f>
        <v>0</v>
      </c>
      <c r="K124" s="54">
        <f t="shared" si="5"/>
        <v>0</v>
      </c>
    </row>
    <row r="125" spans="2:13" x14ac:dyDescent="0.25">
      <c r="B125" s="7"/>
      <c r="C125" s="16"/>
      <c r="D125" s="7">
        <v>372</v>
      </c>
      <c r="E125" s="7"/>
      <c r="F125" s="7" t="s">
        <v>126</v>
      </c>
      <c r="G125" s="65">
        <v>3067.7815382573494</v>
      </c>
      <c r="H125" s="82">
        <v>3981.68</v>
      </c>
      <c r="I125" s="53">
        <v>0</v>
      </c>
      <c r="J125" s="54">
        <f t="shared" si="6"/>
        <v>0</v>
      </c>
      <c r="K125" s="54">
        <f t="shared" si="5"/>
        <v>0</v>
      </c>
    </row>
    <row r="126" spans="2:13" x14ac:dyDescent="0.25">
      <c r="B126" s="7"/>
      <c r="C126" s="16"/>
      <c r="D126" s="7"/>
      <c r="E126" s="7">
        <v>3722</v>
      </c>
      <c r="F126" s="7" t="s">
        <v>127</v>
      </c>
      <c r="G126" s="65">
        <v>3067.7815382573494</v>
      </c>
      <c r="H126" s="82">
        <v>3981.68</v>
      </c>
      <c r="I126" s="53">
        <v>0</v>
      </c>
      <c r="J126" s="54">
        <f t="shared" si="6"/>
        <v>0</v>
      </c>
      <c r="K126" s="63">
        <f t="shared" si="5"/>
        <v>0</v>
      </c>
    </row>
    <row r="127" spans="2:13" x14ac:dyDescent="0.25">
      <c r="B127" s="7"/>
      <c r="C127" s="16"/>
      <c r="D127" s="7"/>
      <c r="E127" s="7"/>
      <c r="F127" s="7"/>
      <c r="G127" s="65"/>
      <c r="H127" s="83"/>
      <c r="I127" s="24"/>
      <c r="J127" s="54"/>
      <c r="K127" s="54"/>
    </row>
    <row r="128" spans="2:13" x14ac:dyDescent="0.25">
      <c r="B128" s="7"/>
      <c r="C128" s="16">
        <v>38</v>
      </c>
      <c r="D128" s="7"/>
      <c r="E128" s="7"/>
      <c r="F128" s="16" t="s">
        <v>128</v>
      </c>
      <c r="G128" s="64">
        <v>258547.97133187336</v>
      </c>
      <c r="H128" s="69">
        <v>0</v>
      </c>
      <c r="I128" s="69">
        <f>SUM(I130:I132)</f>
        <v>264427.74</v>
      </c>
      <c r="J128" s="54">
        <f t="shared" si="6"/>
        <v>1.0227414999152298</v>
      </c>
      <c r="K128" s="54">
        <v>0</v>
      </c>
      <c r="L128" s="81"/>
    </row>
    <row r="129" spans="2:13" x14ac:dyDescent="0.25">
      <c r="B129" s="7"/>
      <c r="C129" s="16"/>
      <c r="D129" s="7">
        <v>381</v>
      </c>
      <c r="E129" s="7"/>
      <c r="F129" s="7" t="s">
        <v>77</v>
      </c>
      <c r="G129" s="65">
        <v>258547.97133187336</v>
      </c>
      <c r="H129" s="53">
        <v>0</v>
      </c>
      <c r="I129" s="53">
        <f>SUM(I130:I132)</f>
        <v>264427.74</v>
      </c>
      <c r="J129" s="54">
        <f t="shared" si="6"/>
        <v>1.0227414999152298</v>
      </c>
      <c r="K129" s="54">
        <v>0</v>
      </c>
    </row>
    <row r="130" spans="2:13" x14ac:dyDescent="0.25">
      <c r="B130" s="7"/>
      <c r="C130" s="16"/>
      <c r="D130" s="7"/>
      <c r="E130" s="7">
        <v>3811</v>
      </c>
      <c r="F130" s="7" t="s">
        <v>129</v>
      </c>
      <c r="G130" s="65">
        <v>38782.19523525118</v>
      </c>
      <c r="H130" s="53">
        <v>0</v>
      </c>
      <c r="I130" s="53">
        <v>0</v>
      </c>
      <c r="J130" s="63">
        <f t="shared" si="6"/>
        <v>0</v>
      </c>
      <c r="K130" s="63">
        <v>0</v>
      </c>
    </row>
    <row r="131" spans="2:13" x14ac:dyDescent="0.25">
      <c r="B131" s="7"/>
      <c r="C131" s="16"/>
      <c r="D131" s="7"/>
      <c r="E131" s="7">
        <v>3812</v>
      </c>
      <c r="F131" s="7" t="s">
        <v>150</v>
      </c>
      <c r="G131" s="65">
        <v>0</v>
      </c>
      <c r="H131" s="53">
        <v>0</v>
      </c>
      <c r="I131" s="53">
        <v>43041.41</v>
      </c>
      <c r="J131" s="54">
        <v>0</v>
      </c>
      <c r="K131" s="54">
        <v>0</v>
      </c>
      <c r="L131" s="81"/>
    </row>
    <row r="132" spans="2:13" x14ac:dyDescent="0.25">
      <c r="B132" s="7"/>
      <c r="C132" s="16"/>
      <c r="D132" s="7"/>
      <c r="E132" s="7">
        <v>3813</v>
      </c>
      <c r="F132" s="7" t="s">
        <v>130</v>
      </c>
      <c r="G132" s="65">
        <v>219765.7760966222</v>
      </c>
      <c r="H132" s="53">
        <v>0</v>
      </c>
      <c r="I132" s="53">
        <v>221386.33</v>
      </c>
      <c r="J132" s="54">
        <f t="shared" si="6"/>
        <v>1.007374004870828</v>
      </c>
      <c r="K132" s="54">
        <v>0</v>
      </c>
    </row>
    <row r="133" spans="2:13" x14ac:dyDescent="0.25">
      <c r="B133" s="7"/>
      <c r="C133" s="16"/>
      <c r="D133" s="7"/>
      <c r="E133" s="7"/>
      <c r="F133" s="7"/>
      <c r="G133" s="65"/>
      <c r="H133" s="83"/>
      <c r="I133" s="24"/>
      <c r="J133" s="54"/>
      <c r="K133" s="54"/>
    </row>
    <row r="134" spans="2:13" x14ac:dyDescent="0.25">
      <c r="B134" s="7"/>
      <c r="C134" s="7"/>
      <c r="D134" s="7"/>
      <c r="E134" s="7"/>
      <c r="F134" s="7"/>
      <c r="G134" s="65"/>
      <c r="H134" s="83"/>
      <c r="I134" s="24"/>
      <c r="J134" s="54"/>
      <c r="K134" s="63"/>
    </row>
    <row r="135" spans="2:13" x14ac:dyDescent="0.25">
      <c r="B135" s="9">
        <v>4</v>
      </c>
      <c r="C135" s="10"/>
      <c r="D135" s="10"/>
      <c r="E135" s="10"/>
      <c r="F135" s="14" t="s">
        <v>6</v>
      </c>
      <c r="G135" s="64">
        <v>767552.85685845104</v>
      </c>
      <c r="H135" s="80">
        <v>8129936.6799999997</v>
      </c>
      <c r="I135" s="69">
        <f>I136+I140+I156</f>
        <v>6272206.1799999988</v>
      </c>
      <c r="J135" s="54">
        <f t="shared" si="6"/>
        <v>8.1716928338613339</v>
      </c>
      <c r="K135" s="54">
        <f t="shared" si="5"/>
        <v>0.77149508377228826</v>
      </c>
    </row>
    <row r="136" spans="2:13" x14ac:dyDescent="0.25">
      <c r="B136" s="11"/>
      <c r="C136" s="6">
        <v>41</v>
      </c>
      <c r="D136" s="11"/>
      <c r="E136" s="11"/>
      <c r="F136" s="15" t="s">
        <v>7</v>
      </c>
      <c r="G136" s="64">
        <v>1141.6231999469107</v>
      </c>
      <c r="H136" s="80">
        <v>84942.62</v>
      </c>
      <c r="I136" s="69">
        <v>27659.599999999999</v>
      </c>
      <c r="J136" s="54">
        <f t="shared" si="6"/>
        <v>24.228309306683904</v>
      </c>
      <c r="K136" s="54">
        <f t="shared" si="5"/>
        <v>0.32562687611943214</v>
      </c>
      <c r="M136" s="81"/>
    </row>
    <row r="137" spans="2:13" x14ac:dyDescent="0.25">
      <c r="B137" s="11"/>
      <c r="C137" s="11"/>
      <c r="D137" s="7">
        <v>412</v>
      </c>
      <c r="E137" s="7"/>
      <c r="F137" s="7" t="s">
        <v>131</v>
      </c>
      <c r="G137" s="65">
        <v>1141.6231999469107</v>
      </c>
      <c r="H137" s="82">
        <v>84942.62</v>
      </c>
      <c r="I137" s="53">
        <v>27659.599999999999</v>
      </c>
      <c r="J137" s="54">
        <f t="shared" si="6"/>
        <v>24.228309306683904</v>
      </c>
      <c r="K137" s="54">
        <f t="shared" si="5"/>
        <v>0.32562687611943214</v>
      </c>
    </row>
    <row r="138" spans="2:13" x14ac:dyDescent="0.25">
      <c r="B138" s="11"/>
      <c r="C138" s="11"/>
      <c r="D138" s="7"/>
      <c r="E138" s="7">
        <v>4123</v>
      </c>
      <c r="F138" s="7" t="s">
        <v>132</v>
      </c>
      <c r="G138" s="65">
        <v>1141.6231999469107</v>
      </c>
      <c r="H138" s="82">
        <v>84942.62</v>
      </c>
      <c r="I138" s="53">
        <v>27659.599999999999</v>
      </c>
      <c r="J138" s="54">
        <f t="shared" si="6"/>
        <v>24.228309306683904</v>
      </c>
      <c r="K138" s="63">
        <f t="shared" si="5"/>
        <v>0.32562687611943214</v>
      </c>
    </row>
    <row r="139" spans="2:13" x14ac:dyDescent="0.25">
      <c r="B139" s="11"/>
      <c r="C139" s="11"/>
      <c r="D139" s="7"/>
      <c r="E139" s="7"/>
      <c r="F139" s="7"/>
      <c r="G139" s="65"/>
      <c r="H139" s="75"/>
      <c r="I139" s="24"/>
      <c r="J139" s="63"/>
      <c r="K139" s="54"/>
    </row>
    <row r="140" spans="2:13" x14ac:dyDescent="0.25">
      <c r="B140" s="11"/>
      <c r="C140" s="6">
        <v>42</v>
      </c>
      <c r="D140" s="7"/>
      <c r="E140" s="7"/>
      <c r="F140" s="16" t="s">
        <v>133</v>
      </c>
      <c r="G140" s="64">
        <v>761440.54549074254</v>
      </c>
      <c r="H140" s="80">
        <f>H141+H144+H151+H153</f>
        <v>3929084.3200000003</v>
      </c>
      <c r="I140" s="69">
        <f>I141+I144+I151+I153</f>
        <v>6244546.5799999991</v>
      </c>
      <c r="J140" s="54">
        <f t="shared" si="6"/>
        <v>8.2009641028183449</v>
      </c>
      <c r="K140" s="54">
        <f t="shared" si="5"/>
        <v>1.5893134561184472</v>
      </c>
    </row>
    <row r="141" spans="2:13" x14ac:dyDescent="0.25">
      <c r="B141" s="11"/>
      <c r="C141" s="6"/>
      <c r="D141" s="7">
        <v>421</v>
      </c>
      <c r="E141" s="7"/>
      <c r="F141" s="7" t="s">
        <v>134</v>
      </c>
      <c r="G141" s="65">
        <v>702669.87988585839</v>
      </c>
      <c r="H141" s="53">
        <f>SUM(H142:H143)</f>
        <v>0</v>
      </c>
      <c r="I141" s="53">
        <f>I142+I143</f>
        <v>2157184.96</v>
      </c>
      <c r="J141" s="54">
        <f t="shared" si="6"/>
        <v>3.0699835324525551</v>
      </c>
      <c r="K141" s="54">
        <v>0</v>
      </c>
    </row>
    <row r="142" spans="2:13" x14ac:dyDescent="0.25">
      <c r="B142" s="11"/>
      <c r="C142" s="6"/>
      <c r="D142" s="7"/>
      <c r="E142" s="7">
        <v>4212</v>
      </c>
      <c r="F142" s="7" t="s">
        <v>135</v>
      </c>
      <c r="G142" s="65">
        <v>702669.87988585839</v>
      </c>
      <c r="H142" s="53">
        <v>0</v>
      </c>
      <c r="I142" s="53">
        <v>2154525.38</v>
      </c>
      <c r="J142" s="63">
        <f t="shared" si="6"/>
        <v>3.0661985687361195</v>
      </c>
      <c r="K142" s="63">
        <v>0</v>
      </c>
    </row>
    <row r="143" spans="2:13" x14ac:dyDescent="0.25">
      <c r="B143" s="11"/>
      <c r="C143" s="6"/>
      <c r="D143" s="7"/>
      <c r="E143" s="7">
        <v>4214</v>
      </c>
      <c r="F143" s="7" t="s">
        <v>156</v>
      </c>
      <c r="G143" s="65">
        <v>0</v>
      </c>
      <c r="H143" s="82">
        <v>0</v>
      </c>
      <c r="I143" s="53">
        <v>2659.58</v>
      </c>
      <c r="J143" s="54">
        <v>0</v>
      </c>
      <c r="K143" s="54">
        <v>0</v>
      </c>
    </row>
    <row r="144" spans="2:13" x14ac:dyDescent="0.25">
      <c r="B144" s="11"/>
      <c r="C144" s="6"/>
      <c r="D144" s="7">
        <v>422</v>
      </c>
      <c r="E144" s="7"/>
      <c r="F144" s="7" t="s">
        <v>136</v>
      </c>
      <c r="G144" s="65">
        <v>57665.115137036293</v>
      </c>
      <c r="H144" s="82">
        <f>SUM(H145:H150)</f>
        <v>3921855.62</v>
      </c>
      <c r="I144" s="53">
        <f>SUM(I145:I150)</f>
        <v>4034000.38</v>
      </c>
      <c r="J144" s="54">
        <f t="shared" si="6"/>
        <v>69.95564598134483</v>
      </c>
      <c r="K144" s="54">
        <f t="shared" si="5"/>
        <v>1.0285948211423448</v>
      </c>
    </row>
    <row r="145" spans="2:11" x14ac:dyDescent="0.25">
      <c r="B145" s="11"/>
      <c r="C145" s="6"/>
      <c r="D145" s="7"/>
      <c r="E145" s="7">
        <v>4221</v>
      </c>
      <c r="F145" s="7" t="s">
        <v>137</v>
      </c>
      <c r="G145" s="65">
        <v>51724.174132324632</v>
      </c>
      <c r="H145" s="82">
        <v>971421.62</v>
      </c>
      <c r="I145" s="53">
        <v>458786.2</v>
      </c>
      <c r="J145" s="63">
        <f t="shared" si="6"/>
        <v>8.8698603253925139</v>
      </c>
      <c r="K145" s="54">
        <f t="shared" si="5"/>
        <v>0.47228329136837621</v>
      </c>
    </row>
    <row r="146" spans="2:11" x14ac:dyDescent="0.25">
      <c r="B146" s="11"/>
      <c r="C146" s="6"/>
      <c r="D146" s="7"/>
      <c r="E146" s="7">
        <v>4222</v>
      </c>
      <c r="F146" s="7" t="s">
        <v>138</v>
      </c>
      <c r="G146" s="65">
        <v>304.20067688632292</v>
      </c>
      <c r="H146" s="82">
        <v>663.61</v>
      </c>
      <c r="I146" s="53">
        <v>24086.5</v>
      </c>
      <c r="J146" s="54">
        <f t="shared" si="6"/>
        <v>79.179639725130883</v>
      </c>
      <c r="K146" s="63">
        <f t="shared" si="5"/>
        <v>36.296167929958862</v>
      </c>
    </row>
    <row r="147" spans="2:11" x14ac:dyDescent="0.25">
      <c r="B147" s="11"/>
      <c r="C147" s="6"/>
      <c r="D147" s="7"/>
      <c r="E147" s="7">
        <v>4223</v>
      </c>
      <c r="F147" s="7" t="s">
        <v>139</v>
      </c>
      <c r="G147" s="65">
        <v>1177.9985400491073</v>
      </c>
      <c r="H147" s="82">
        <v>3052.62</v>
      </c>
      <c r="I147" s="53">
        <v>606.37</v>
      </c>
      <c r="J147" s="54">
        <f t="shared" si="6"/>
        <v>0.51474596901853731</v>
      </c>
      <c r="K147" s="54">
        <f t="shared" si="5"/>
        <v>0.19863920173490315</v>
      </c>
    </row>
    <row r="148" spans="2:11" x14ac:dyDescent="0.25">
      <c r="B148" s="11"/>
      <c r="C148" s="6"/>
      <c r="D148" s="7"/>
      <c r="E148" s="7">
        <v>4225</v>
      </c>
      <c r="F148" s="7" t="s">
        <v>148</v>
      </c>
      <c r="G148" s="65">
        <v>0</v>
      </c>
      <c r="H148" s="82">
        <f>54267.04+329162.52</f>
        <v>383429.56</v>
      </c>
      <c r="I148" s="53">
        <v>3547824</v>
      </c>
      <c r="J148" s="63">
        <v>0</v>
      </c>
      <c r="K148" s="54">
        <f t="shared" si="5"/>
        <v>9.2528703316457914</v>
      </c>
    </row>
    <row r="149" spans="2:11" x14ac:dyDescent="0.25">
      <c r="B149" s="11"/>
      <c r="C149" s="6"/>
      <c r="D149" s="7"/>
      <c r="E149" s="7">
        <v>4226</v>
      </c>
      <c r="F149" s="7" t="s">
        <v>149</v>
      </c>
      <c r="G149" s="65">
        <v>0</v>
      </c>
      <c r="H149" s="82">
        <v>1194.51</v>
      </c>
      <c r="I149" s="53">
        <v>0</v>
      </c>
      <c r="J149" s="54">
        <v>0</v>
      </c>
      <c r="K149" s="54">
        <f t="shared" si="5"/>
        <v>0</v>
      </c>
    </row>
    <row r="150" spans="2:11" x14ac:dyDescent="0.25">
      <c r="B150" s="11"/>
      <c r="C150" s="6"/>
      <c r="D150" s="7"/>
      <c r="E150" s="7">
        <v>4227</v>
      </c>
      <c r="F150" s="7" t="s">
        <v>140</v>
      </c>
      <c r="G150" s="65">
        <v>4458.7417877762291</v>
      </c>
      <c r="H150" s="82">
        <v>2562093.7000000002</v>
      </c>
      <c r="I150" s="53">
        <v>2697.31</v>
      </c>
      <c r="J150" s="54">
        <f t="shared" si="6"/>
        <v>0.60494868920078626</v>
      </c>
      <c r="K150" s="63">
        <f>I150/H150</f>
        <v>1.0527757044951165E-3</v>
      </c>
    </row>
    <row r="151" spans="2:11" x14ac:dyDescent="0.25">
      <c r="B151" s="11"/>
      <c r="C151" s="6"/>
      <c r="D151" s="7">
        <v>424</v>
      </c>
      <c r="E151" s="7"/>
      <c r="F151" s="7" t="s">
        <v>141</v>
      </c>
      <c r="G151" s="66">
        <v>1105.5504678478997</v>
      </c>
      <c r="H151" s="82">
        <v>5354.46</v>
      </c>
      <c r="I151" s="53">
        <v>1599.35</v>
      </c>
      <c r="J151" s="63">
        <f t="shared" si="6"/>
        <v>1.4466548986346561</v>
      </c>
      <c r="K151" s="54">
        <f t="shared" si="5"/>
        <v>0.29869491974914369</v>
      </c>
    </row>
    <row r="152" spans="2:11" x14ac:dyDescent="0.25">
      <c r="B152" s="11"/>
      <c r="C152" s="6"/>
      <c r="D152" s="7"/>
      <c r="E152" s="7">
        <v>4241</v>
      </c>
      <c r="F152" s="7" t="s">
        <v>142</v>
      </c>
      <c r="G152" s="66">
        <v>1105.5504678478997</v>
      </c>
      <c r="H152" s="82">
        <v>5354.46</v>
      </c>
      <c r="I152" s="53">
        <v>1599.35</v>
      </c>
      <c r="J152" s="54">
        <f t="shared" si="6"/>
        <v>1.4466548986346561</v>
      </c>
      <c r="K152" s="54">
        <f t="shared" si="5"/>
        <v>0.29869491974914369</v>
      </c>
    </row>
    <row r="153" spans="2:11" x14ac:dyDescent="0.25">
      <c r="B153" s="11"/>
      <c r="C153" s="6"/>
      <c r="D153" s="7">
        <v>426</v>
      </c>
      <c r="E153" s="7"/>
      <c r="F153" s="7" t="s">
        <v>157</v>
      </c>
      <c r="G153" s="66">
        <v>0</v>
      </c>
      <c r="H153" s="82">
        <v>1874.24</v>
      </c>
      <c r="I153" s="53">
        <v>51761.89</v>
      </c>
      <c r="J153" s="54">
        <v>0</v>
      </c>
      <c r="K153" s="54">
        <f t="shared" si="5"/>
        <v>27.617535641113196</v>
      </c>
    </row>
    <row r="154" spans="2:11" x14ac:dyDescent="0.25">
      <c r="B154" s="11"/>
      <c r="C154" s="6"/>
      <c r="D154" s="7"/>
      <c r="E154" s="7">
        <v>4262</v>
      </c>
      <c r="F154" s="7" t="s">
        <v>158</v>
      </c>
      <c r="G154" s="66">
        <v>0</v>
      </c>
      <c r="H154" s="82">
        <v>1874.24</v>
      </c>
      <c r="I154" s="53">
        <v>51761.89</v>
      </c>
      <c r="J154" s="63">
        <v>0</v>
      </c>
      <c r="K154" s="63">
        <f t="shared" si="5"/>
        <v>27.617535641113196</v>
      </c>
    </row>
    <row r="155" spans="2:11" x14ac:dyDescent="0.25">
      <c r="B155" s="11"/>
      <c r="C155" s="6"/>
      <c r="D155" s="7"/>
      <c r="E155" s="7"/>
      <c r="F155" s="7"/>
      <c r="G155" s="73"/>
      <c r="H155" s="84"/>
      <c r="I155" s="74"/>
      <c r="J155" s="54"/>
      <c r="K155" s="54"/>
    </row>
    <row r="156" spans="2:11" x14ac:dyDescent="0.25">
      <c r="B156" s="11"/>
      <c r="C156" s="6">
        <v>45</v>
      </c>
      <c r="D156" s="7"/>
      <c r="E156" s="7"/>
      <c r="F156" s="16" t="s">
        <v>143</v>
      </c>
      <c r="G156" s="64">
        <v>4970.6350786382636</v>
      </c>
      <c r="H156" s="80">
        <v>4115909.36</v>
      </c>
      <c r="I156" s="69">
        <v>0</v>
      </c>
      <c r="J156" s="54">
        <f t="shared" si="6"/>
        <v>0</v>
      </c>
      <c r="K156" s="54">
        <f t="shared" si="5"/>
        <v>0</v>
      </c>
    </row>
    <row r="157" spans="2:11" x14ac:dyDescent="0.25">
      <c r="B157" s="11"/>
      <c r="C157" s="11"/>
      <c r="D157" s="7">
        <v>451</v>
      </c>
      <c r="E157" s="7"/>
      <c r="F157" s="7" t="s">
        <v>144</v>
      </c>
      <c r="G157" s="65">
        <v>4970.6350786382636</v>
      </c>
      <c r="H157" s="82">
        <v>4115909.36</v>
      </c>
      <c r="I157" s="53">
        <v>0</v>
      </c>
      <c r="J157" s="63">
        <f t="shared" si="6"/>
        <v>0</v>
      </c>
      <c r="K157" s="54">
        <f t="shared" si="5"/>
        <v>0</v>
      </c>
    </row>
    <row r="158" spans="2:11" x14ac:dyDescent="0.25">
      <c r="B158" s="11"/>
      <c r="C158" s="11"/>
      <c r="D158" s="7"/>
      <c r="E158" s="7">
        <v>4511</v>
      </c>
      <c r="F158" s="7" t="s">
        <v>144</v>
      </c>
      <c r="G158" s="65">
        <v>4970.6350786382636</v>
      </c>
      <c r="H158" s="82">
        <v>4115909.36</v>
      </c>
      <c r="I158" s="53">
        <v>0</v>
      </c>
      <c r="J158" s="54">
        <f t="shared" si="6"/>
        <v>0</v>
      </c>
      <c r="K158" s="63">
        <f t="shared" si="5"/>
        <v>0</v>
      </c>
    </row>
  </sheetData>
  <mergeCells count="12">
    <mergeCell ref="B1:J1"/>
    <mergeCell ref="B2:J2"/>
    <mergeCell ref="B4:J4"/>
    <mergeCell ref="B6:J6"/>
    <mergeCell ref="B52:F52"/>
    <mergeCell ref="B9:F9"/>
    <mergeCell ref="B51:F51"/>
    <mergeCell ref="B8:F8"/>
    <mergeCell ref="B7:J7"/>
    <mergeCell ref="B5:J5"/>
    <mergeCell ref="B50:J50"/>
    <mergeCell ref="B3:J3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3"/>
  <sheetViews>
    <sheetView workbookViewId="0"/>
  </sheetViews>
  <sheetFormatPr defaultRowHeight="15" x14ac:dyDescent="0.25"/>
  <cols>
    <col min="1" max="1" width="12.7109375" bestFit="1" customWidth="1"/>
    <col min="2" max="2" width="56.7109375" customWidth="1"/>
    <col min="3" max="3" width="5.42578125" bestFit="1" customWidth="1"/>
    <col min="4" max="5" width="25.28515625" customWidth="1"/>
    <col min="6" max="6" width="26.85546875" customWidth="1"/>
    <col min="7" max="8" width="15.7109375" customWidth="1"/>
    <col min="9" max="9" width="16.85546875" bestFit="1" customWidth="1"/>
  </cols>
  <sheetData>
    <row r="1" spans="2:9" ht="18" x14ac:dyDescent="0.25">
      <c r="B1" s="3"/>
      <c r="C1" s="13"/>
      <c r="D1" s="3"/>
      <c r="E1" s="3"/>
      <c r="F1" s="4"/>
      <c r="G1" s="4"/>
      <c r="H1" s="4"/>
    </row>
    <row r="2" spans="2:9" ht="15.75" customHeight="1" x14ac:dyDescent="0.25">
      <c r="B2" s="111" t="s">
        <v>30</v>
      </c>
      <c r="C2" s="111"/>
      <c r="D2" s="111"/>
      <c r="E2" s="111"/>
      <c r="F2" s="111"/>
      <c r="G2" s="111"/>
    </row>
    <row r="3" spans="2:9" ht="18" x14ac:dyDescent="0.25">
      <c r="B3" s="40"/>
      <c r="C3" s="72"/>
      <c r="D3" s="40"/>
      <c r="E3" s="40"/>
      <c r="F3" s="41"/>
      <c r="G3" s="41"/>
      <c r="H3" s="41"/>
    </row>
    <row r="4" spans="2:9" ht="33.75" customHeight="1" x14ac:dyDescent="0.25">
      <c r="B4" s="31" t="s">
        <v>8</v>
      </c>
      <c r="C4" s="31" t="s">
        <v>162</v>
      </c>
      <c r="D4" s="31" t="s">
        <v>51</v>
      </c>
      <c r="E4" s="31" t="s">
        <v>43</v>
      </c>
      <c r="F4" s="31" t="s">
        <v>46</v>
      </c>
      <c r="G4" s="31" t="s">
        <v>14</v>
      </c>
      <c r="H4" s="31" t="s">
        <v>14</v>
      </c>
    </row>
    <row r="5" spans="2:9" x14ac:dyDescent="0.25">
      <c r="B5" s="31">
        <v>1</v>
      </c>
      <c r="C5" s="31"/>
      <c r="D5" s="33">
        <v>2</v>
      </c>
      <c r="E5" s="33">
        <v>3</v>
      </c>
      <c r="F5" s="33">
        <v>5</v>
      </c>
      <c r="G5" s="33" t="s">
        <v>28</v>
      </c>
      <c r="H5" s="33" t="s">
        <v>229</v>
      </c>
    </row>
    <row r="6" spans="2:9" x14ac:dyDescent="0.25">
      <c r="B6" s="6" t="s">
        <v>161</v>
      </c>
      <c r="C6" s="6"/>
      <c r="D6" s="62">
        <v>5231244.1900000004</v>
      </c>
      <c r="E6" s="62">
        <v>11944187.140000001</v>
      </c>
      <c r="F6" s="62">
        <v>12117662.890000001</v>
      </c>
      <c r="G6" s="54">
        <f>F6/D6</f>
        <v>2.3164016914301224</v>
      </c>
      <c r="H6" s="54">
        <f>F6/E6</f>
        <v>1.0145238640324921</v>
      </c>
      <c r="I6" s="90"/>
    </row>
    <row r="7" spans="2:9" ht="13.5" customHeight="1" x14ac:dyDescent="0.25">
      <c r="B7" s="6" t="s">
        <v>221</v>
      </c>
      <c r="C7" s="6"/>
      <c r="D7" s="62">
        <f>D8+D9+D10+D19+D24</f>
        <v>3445243.3000000003</v>
      </c>
      <c r="E7" s="62">
        <v>11369426.75</v>
      </c>
      <c r="F7" s="62">
        <f>F8+F9+F10+F19+F24</f>
        <v>6383421.6500000004</v>
      </c>
      <c r="G7" s="54">
        <f>F7/D7</f>
        <v>1.8528217296003449</v>
      </c>
      <c r="H7" s="54">
        <f>F7/E7</f>
        <v>0.56145501355202454</v>
      </c>
      <c r="I7" s="90"/>
    </row>
    <row r="8" spans="2:9" ht="12.75" customHeight="1" x14ac:dyDescent="0.25">
      <c r="B8" s="11" t="s">
        <v>159</v>
      </c>
      <c r="C8" s="89" t="s">
        <v>163</v>
      </c>
      <c r="D8" s="62">
        <v>0</v>
      </c>
      <c r="E8" s="62">
        <v>133759.67000000001</v>
      </c>
      <c r="F8" s="62">
        <v>0</v>
      </c>
      <c r="G8" s="54">
        <v>0</v>
      </c>
      <c r="H8" s="54">
        <f t="shared" ref="H8:H34" si="0">F8/E8</f>
        <v>0</v>
      </c>
    </row>
    <row r="9" spans="2:9" ht="12.75" customHeight="1" x14ac:dyDescent="0.25">
      <c r="B9" s="11" t="s">
        <v>215</v>
      </c>
      <c r="C9" s="98" t="s">
        <v>163</v>
      </c>
      <c r="D9" s="62">
        <v>27224.61</v>
      </c>
      <c r="E9" s="62">
        <v>0</v>
      </c>
      <c r="F9" s="62">
        <v>0</v>
      </c>
      <c r="G9" s="54">
        <f t="shared" ref="G9:G34" si="1">F9/D9</f>
        <v>0</v>
      </c>
      <c r="H9" s="54">
        <v>0</v>
      </c>
    </row>
    <row r="10" spans="2:9" ht="12.75" customHeight="1" x14ac:dyDescent="0.25">
      <c r="B10" s="11" t="s">
        <v>222</v>
      </c>
      <c r="C10" s="24"/>
      <c r="D10" s="62">
        <f>D15+D17</f>
        <v>1773439.4000000001</v>
      </c>
      <c r="E10" s="62">
        <v>2147742.17</v>
      </c>
      <c r="F10" s="62">
        <v>2356751.65</v>
      </c>
      <c r="G10" s="54">
        <f t="shared" si="1"/>
        <v>1.3289158062012154</v>
      </c>
      <c r="H10" s="54">
        <f t="shared" si="0"/>
        <v>1.0973159082684492</v>
      </c>
      <c r="I10" s="90"/>
    </row>
    <row r="11" spans="2:9" ht="12.75" customHeight="1" x14ac:dyDescent="0.25">
      <c r="B11" s="97" t="s">
        <v>223</v>
      </c>
      <c r="C11" s="89" t="s">
        <v>164</v>
      </c>
      <c r="D11" s="54">
        <v>0</v>
      </c>
      <c r="E11" s="54">
        <v>18713.919999999998</v>
      </c>
      <c r="F11" s="54">
        <v>0</v>
      </c>
      <c r="G11" s="54">
        <v>0</v>
      </c>
      <c r="H11" s="54">
        <f t="shared" si="0"/>
        <v>0</v>
      </c>
      <c r="I11" s="90"/>
    </row>
    <row r="12" spans="2:9" ht="12.75" customHeight="1" x14ac:dyDescent="0.25">
      <c r="B12" s="97" t="s">
        <v>160</v>
      </c>
      <c r="C12" s="89"/>
      <c r="D12" s="5"/>
      <c r="E12" s="54"/>
      <c r="F12" s="54"/>
      <c r="G12" s="54"/>
      <c r="H12" s="54">
        <v>0</v>
      </c>
      <c r="I12" s="90"/>
    </row>
    <row r="13" spans="2:9" ht="12.75" customHeight="1" x14ac:dyDescent="0.25">
      <c r="B13" s="97" t="s">
        <v>167</v>
      </c>
      <c r="C13" s="89" t="s">
        <v>165</v>
      </c>
      <c r="D13" s="54">
        <v>0</v>
      </c>
      <c r="E13" s="54">
        <v>2124873.79</v>
      </c>
      <c r="F13" s="54">
        <v>1874104.99</v>
      </c>
      <c r="G13" s="54">
        <v>0</v>
      </c>
      <c r="H13" s="54">
        <f t="shared" si="0"/>
        <v>0.88198414363236133</v>
      </c>
      <c r="I13" s="90"/>
    </row>
    <row r="14" spans="2:9" ht="12.75" customHeight="1" x14ac:dyDescent="0.25">
      <c r="B14" s="97" t="s">
        <v>166</v>
      </c>
      <c r="C14" s="89"/>
      <c r="D14" s="5"/>
      <c r="E14" s="54"/>
      <c r="F14" s="54"/>
      <c r="G14" s="54"/>
      <c r="H14" s="54">
        <v>0</v>
      </c>
    </row>
    <row r="15" spans="2:9" ht="13.5" customHeight="1" x14ac:dyDescent="0.25">
      <c r="B15" s="97" t="s">
        <v>168</v>
      </c>
      <c r="C15" s="89" t="s">
        <v>165</v>
      </c>
      <c r="D15" s="54">
        <v>1023.06</v>
      </c>
      <c r="E15" s="54">
        <v>4154.46</v>
      </c>
      <c r="F15" s="54">
        <v>843.31</v>
      </c>
      <c r="G15" s="54">
        <f t="shared" si="1"/>
        <v>0.82430160498895466</v>
      </c>
      <c r="H15" s="54">
        <f t="shared" si="0"/>
        <v>0.20298907679939149</v>
      </c>
    </row>
    <row r="16" spans="2:9" ht="12" customHeight="1" x14ac:dyDescent="0.25">
      <c r="B16" s="97" t="s">
        <v>160</v>
      </c>
      <c r="C16" s="89"/>
      <c r="D16" s="5"/>
      <c r="E16" s="54"/>
      <c r="F16" s="54"/>
      <c r="G16" s="54"/>
      <c r="H16" s="54">
        <v>0</v>
      </c>
    </row>
    <row r="17" spans="2:9" ht="12" customHeight="1" x14ac:dyDescent="0.25">
      <c r="B17" s="97" t="s">
        <v>209</v>
      </c>
      <c r="C17" s="89" t="s">
        <v>163</v>
      </c>
      <c r="D17" s="54">
        <v>1772416.34</v>
      </c>
      <c r="E17" s="54">
        <v>0</v>
      </c>
      <c r="F17" s="54">
        <v>481573.35</v>
      </c>
      <c r="G17" s="54">
        <f t="shared" si="1"/>
        <v>0.27170441793602512</v>
      </c>
      <c r="H17" s="54">
        <v>0</v>
      </c>
    </row>
    <row r="18" spans="2:9" ht="12" customHeight="1" x14ac:dyDescent="0.25">
      <c r="B18" s="97" t="s">
        <v>160</v>
      </c>
      <c r="C18" s="89"/>
      <c r="D18" s="5"/>
      <c r="E18" s="54"/>
      <c r="F18" s="54"/>
      <c r="G18" s="54"/>
      <c r="H18" s="54">
        <v>0</v>
      </c>
    </row>
    <row r="19" spans="2:9" ht="12" customHeight="1" x14ac:dyDescent="0.25">
      <c r="B19" s="11" t="s">
        <v>224</v>
      </c>
      <c r="C19" s="89"/>
      <c r="D19" s="62">
        <v>1583291.72</v>
      </c>
      <c r="E19" s="62">
        <f>E21+E22</f>
        <v>9087924.4100000001</v>
      </c>
      <c r="F19" s="62">
        <f>F20+F21+F22</f>
        <v>3995790.92</v>
      </c>
      <c r="G19" s="54">
        <f t="shared" si="1"/>
        <v>2.5237237519311981</v>
      </c>
      <c r="H19" s="54">
        <f t="shared" si="0"/>
        <v>0.43968135514014467</v>
      </c>
      <c r="I19" s="90"/>
    </row>
    <row r="20" spans="2:9" ht="12.75" customHeight="1" x14ac:dyDescent="0.25">
      <c r="B20" s="97" t="s">
        <v>210</v>
      </c>
      <c r="C20" s="89" t="s">
        <v>164</v>
      </c>
      <c r="D20" s="54">
        <v>25340.68</v>
      </c>
      <c r="E20" s="54">
        <v>0</v>
      </c>
      <c r="F20" s="54">
        <v>12294.75</v>
      </c>
      <c r="G20" s="54">
        <f t="shared" si="1"/>
        <v>0.48517837721797519</v>
      </c>
      <c r="H20" s="54">
        <v>0</v>
      </c>
      <c r="I20" s="90"/>
    </row>
    <row r="21" spans="2:9" ht="12.75" customHeight="1" x14ac:dyDescent="0.25">
      <c r="B21" s="97" t="s">
        <v>210</v>
      </c>
      <c r="C21" s="89" t="s">
        <v>163</v>
      </c>
      <c r="D21" s="54">
        <v>795146.06</v>
      </c>
      <c r="E21" s="54">
        <v>354989.56</v>
      </c>
      <c r="F21" s="54">
        <v>2771372.03</v>
      </c>
      <c r="G21" s="54">
        <f t="shared" si="1"/>
        <v>3.4853622113149871</v>
      </c>
      <c r="H21" s="54">
        <f t="shared" si="0"/>
        <v>7.8069113638158818</v>
      </c>
      <c r="I21" s="90"/>
    </row>
    <row r="22" spans="2:9" ht="12.75" customHeight="1" x14ac:dyDescent="0.25">
      <c r="B22" s="97" t="s">
        <v>211</v>
      </c>
      <c r="C22" s="89" t="s">
        <v>163</v>
      </c>
      <c r="D22" s="54">
        <v>762804.98</v>
      </c>
      <c r="E22" s="54">
        <v>8732934.8499999996</v>
      </c>
      <c r="F22" s="54">
        <v>1212124.1399999999</v>
      </c>
      <c r="G22" s="54">
        <f t="shared" si="1"/>
        <v>1.589035430785992</v>
      </c>
      <c r="H22" s="54">
        <f t="shared" si="0"/>
        <v>0.13879917356763516</v>
      </c>
    </row>
    <row r="23" spans="2:9" ht="12.75" customHeight="1" x14ac:dyDescent="0.25">
      <c r="B23" s="97"/>
      <c r="C23" s="89"/>
      <c r="D23" s="5"/>
      <c r="E23" s="54"/>
      <c r="F23" s="54"/>
      <c r="G23" s="54"/>
      <c r="H23" s="54">
        <v>0</v>
      </c>
    </row>
    <row r="24" spans="2:9" ht="12.75" customHeight="1" x14ac:dyDescent="0.25">
      <c r="B24" s="11" t="s">
        <v>208</v>
      </c>
      <c r="C24" s="89" t="s">
        <v>169</v>
      </c>
      <c r="D24" s="62">
        <v>61287.57</v>
      </c>
      <c r="E24" s="54">
        <v>0</v>
      </c>
      <c r="F24" s="62">
        <v>30879.08</v>
      </c>
      <c r="G24" s="54">
        <f t="shared" si="1"/>
        <v>0.50383919610452821</v>
      </c>
      <c r="H24" s="54">
        <v>0</v>
      </c>
    </row>
    <row r="25" spans="2:9" ht="12.75" customHeight="1" x14ac:dyDescent="0.25">
      <c r="B25" s="11" t="s">
        <v>216</v>
      </c>
      <c r="C25" s="89"/>
      <c r="D25" s="62">
        <v>7.47</v>
      </c>
      <c r="E25" s="54">
        <v>0</v>
      </c>
      <c r="F25" s="62">
        <v>8.84</v>
      </c>
      <c r="G25" s="54">
        <f t="shared" si="1"/>
        <v>1.1834002677376172</v>
      </c>
      <c r="H25" s="54">
        <v>0</v>
      </c>
    </row>
    <row r="26" spans="2:9" ht="12.75" customHeight="1" x14ac:dyDescent="0.25">
      <c r="B26" s="11" t="s">
        <v>225</v>
      </c>
      <c r="C26" s="89"/>
      <c r="D26" s="62">
        <f>D27+D28</f>
        <v>1965.66</v>
      </c>
      <c r="E26" s="54">
        <v>0</v>
      </c>
      <c r="F26" s="62">
        <v>3381.84</v>
      </c>
      <c r="G26" s="54">
        <f t="shared" si="1"/>
        <v>1.7204603034095418</v>
      </c>
      <c r="H26" s="54">
        <v>0</v>
      </c>
    </row>
    <row r="27" spans="2:9" ht="12.75" customHeight="1" x14ac:dyDescent="0.25">
      <c r="B27" s="11" t="s">
        <v>212</v>
      </c>
      <c r="C27" s="89" t="s">
        <v>169</v>
      </c>
      <c r="D27" s="54">
        <v>1965.66</v>
      </c>
      <c r="E27" s="54">
        <v>0</v>
      </c>
      <c r="F27" s="54">
        <v>1591.96</v>
      </c>
      <c r="G27" s="54">
        <f t="shared" si="1"/>
        <v>0.80988573812358189</v>
      </c>
      <c r="H27" s="54">
        <v>0</v>
      </c>
    </row>
    <row r="28" spans="2:9" ht="12.75" customHeight="1" x14ac:dyDescent="0.25">
      <c r="B28" s="11" t="s">
        <v>212</v>
      </c>
      <c r="C28" s="89" t="s">
        <v>164</v>
      </c>
      <c r="D28" s="54">
        <v>0</v>
      </c>
      <c r="E28" s="54">
        <v>0</v>
      </c>
      <c r="F28" s="54">
        <v>2831.84</v>
      </c>
      <c r="G28" s="54">
        <v>0</v>
      </c>
      <c r="H28" s="54">
        <v>0</v>
      </c>
    </row>
    <row r="29" spans="2:9" ht="12.75" customHeight="1" x14ac:dyDescent="0.25">
      <c r="B29" s="11" t="s">
        <v>226</v>
      </c>
      <c r="C29" s="89"/>
      <c r="D29" s="62">
        <v>81161.17</v>
      </c>
      <c r="E29" s="62">
        <f>E30+E31+E32</f>
        <v>192842.13</v>
      </c>
      <c r="F29" s="62">
        <v>95932.6</v>
      </c>
      <c r="G29" s="54">
        <f t="shared" si="1"/>
        <v>1.1820011958920751</v>
      </c>
      <c r="H29" s="54">
        <f t="shared" si="0"/>
        <v>0.49746702134020199</v>
      </c>
    </row>
    <row r="30" spans="2:9" ht="15" customHeight="1" x14ac:dyDescent="0.25">
      <c r="B30" s="11" t="s">
        <v>213</v>
      </c>
      <c r="C30" s="89" t="s">
        <v>169</v>
      </c>
      <c r="D30" s="54">
        <v>80895.72</v>
      </c>
      <c r="E30" s="54">
        <v>148379.99</v>
      </c>
      <c r="F30" s="54">
        <v>84318.28</v>
      </c>
      <c r="G30" s="54">
        <f t="shared" si="1"/>
        <v>1.0423082951730944</v>
      </c>
      <c r="H30" s="54">
        <f t="shared" si="0"/>
        <v>0.56825910286151116</v>
      </c>
    </row>
    <row r="31" spans="2:9" ht="14.25" customHeight="1" x14ac:dyDescent="0.25">
      <c r="B31" s="11" t="s">
        <v>214</v>
      </c>
      <c r="C31" s="89" t="s">
        <v>164</v>
      </c>
      <c r="D31" s="54">
        <v>0</v>
      </c>
      <c r="E31" s="54">
        <v>3318.07</v>
      </c>
      <c r="F31" s="54">
        <v>0</v>
      </c>
      <c r="G31" s="54">
        <v>0</v>
      </c>
      <c r="H31" s="54">
        <f t="shared" si="0"/>
        <v>0</v>
      </c>
    </row>
    <row r="32" spans="2:9" ht="14.25" customHeight="1" x14ac:dyDescent="0.25">
      <c r="B32" s="97" t="s">
        <v>171</v>
      </c>
      <c r="C32" s="89" t="s">
        <v>170</v>
      </c>
      <c r="D32" s="54">
        <v>0</v>
      </c>
      <c r="E32" s="54">
        <v>41144.07</v>
      </c>
      <c r="F32" s="54">
        <v>0</v>
      </c>
      <c r="G32" s="54">
        <v>0</v>
      </c>
      <c r="H32" s="54">
        <f t="shared" si="0"/>
        <v>0</v>
      </c>
    </row>
    <row r="33" spans="1:9" ht="14.25" customHeight="1" x14ac:dyDescent="0.25">
      <c r="B33" s="97" t="s">
        <v>172</v>
      </c>
      <c r="C33" s="89" t="s">
        <v>170</v>
      </c>
      <c r="D33" s="54">
        <v>265.45</v>
      </c>
      <c r="E33" s="54">
        <v>0</v>
      </c>
      <c r="F33" s="54">
        <v>11131.62</v>
      </c>
      <c r="G33" s="54">
        <f t="shared" si="1"/>
        <v>41.934902994914303</v>
      </c>
      <c r="H33" s="54">
        <v>0</v>
      </c>
    </row>
    <row r="34" spans="1:9" ht="14.25" customHeight="1" x14ac:dyDescent="0.25">
      <c r="B34" s="11" t="s">
        <v>227</v>
      </c>
      <c r="C34" s="89" t="s">
        <v>163</v>
      </c>
      <c r="D34" s="62">
        <v>1702866.6</v>
      </c>
      <c r="E34" s="62">
        <v>381918.26</v>
      </c>
      <c r="F34" s="62">
        <v>5634647.96</v>
      </c>
      <c r="G34" s="54">
        <f t="shared" si="1"/>
        <v>3.3089191836870837</v>
      </c>
      <c r="H34" s="54">
        <f t="shared" si="0"/>
        <v>14.753544279343961</v>
      </c>
    </row>
    <row r="35" spans="1:9" ht="14.25" customHeight="1" x14ac:dyDescent="0.25">
      <c r="B35" s="11" t="s">
        <v>228</v>
      </c>
      <c r="C35" s="89" t="s">
        <v>169</v>
      </c>
      <c r="D35" s="54">
        <v>0</v>
      </c>
      <c r="E35" s="54">
        <v>0</v>
      </c>
      <c r="F35" s="62">
        <v>270</v>
      </c>
      <c r="G35" s="54">
        <v>0</v>
      </c>
      <c r="H35" s="54">
        <v>0</v>
      </c>
    </row>
    <row r="36" spans="1:9" ht="14.25" customHeight="1" x14ac:dyDescent="0.25">
      <c r="B36" s="146"/>
      <c r="C36" s="146"/>
      <c r="D36" s="144"/>
      <c r="E36" s="144"/>
      <c r="F36" s="148"/>
      <c r="G36" s="144"/>
      <c r="H36" s="144"/>
    </row>
    <row r="37" spans="1:9" ht="14.25" customHeight="1" x14ac:dyDescent="0.25">
      <c r="B37" s="147"/>
      <c r="C37" s="147"/>
      <c r="D37" s="145"/>
      <c r="E37" s="145"/>
      <c r="F37" s="149"/>
      <c r="G37" s="145"/>
      <c r="H37" s="145"/>
    </row>
    <row r="38" spans="1:9" x14ac:dyDescent="0.25">
      <c r="A38" s="90"/>
      <c r="B38" s="87" t="s">
        <v>173</v>
      </c>
      <c r="C38" s="6"/>
      <c r="D38" s="62">
        <v>3870431.2</v>
      </c>
      <c r="E38" s="62">
        <f>E39+E45+E52+E58+E61</f>
        <v>3814250.4100000006</v>
      </c>
      <c r="F38" s="62">
        <v>6474341.1399999997</v>
      </c>
      <c r="G38" s="54">
        <f t="shared" ref="G38:G43" si="2">F38/D38</f>
        <v>1.6727699849050408</v>
      </c>
      <c r="H38" s="54">
        <f>F38/E38</f>
        <v>1.6974085191223716</v>
      </c>
    </row>
    <row r="39" spans="1:9" x14ac:dyDescent="0.25">
      <c r="B39" s="87" t="s">
        <v>174</v>
      </c>
      <c r="C39" s="92"/>
      <c r="D39" s="62">
        <v>2086758.62</v>
      </c>
      <c r="E39" s="62">
        <f>SUM(E40:E43)</f>
        <v>2405034.91</v>
      </c>
      <c r="F39" s="62">
        <v>2364467.2400000002</v>
      </c>
      <c r="G39" s="54">
        <f t="shared" si="2"/>
        <v>1.1330813335756103</v>
      </c>
      <c r="H39" s="54">
        <f>F39/E39</f>
        <v>0.98313219079219105</v>
      </c>
      <c r="I39" s="90"/>
    </row>
    <row r="40" spans="1:9" x14ac:dyDescent="0.25">
      <c r="B40" s="18" t="s">
        <v>176</v>
      </c>
      <c r="C40" s="91" t="s">
        <v>175</v>
      </c>
      <c r="D40" s="54">
        <f>215068.73/7.5345</f>
        <v>28544.525847766938</v>
      </c>
      <c r="E40" s="54">
        <v>24427.759999999998</v>
      </c>
      <c r="F40" s="54">
        <f>3120.82+225+514.91+17684.58+1275+2917.89+989.71+183.54+163.3+5608.31+1040.04+925.37</f>
        <v>34648.47</v>
      </c>
      <c r="G40" s="54">
        <f t="shared" si="2"/>
        <v>1.2138393955039397</v>
      </c>
      <c r="H40" s="54">
        <f>F40/E40</f>
        <v>1.4184055353417588</v>
      </c>
    </row>
    <row r="41" spans="1:9" x14ac:dyDescent="0.25">
      <c r="B41" s="18" t="s">
        <v>177</v>
      </c>
      <c r="C41" s="91" t="s">
        <v>178</v>
      </c>
      <c r="D41" s="54">
        <v>28286.19</v>
      </c>
      <c r="E41" s="54">
        <v>35621.410000000003</v>
      </c>
      <c r="F41" s="54">
        <f>89.09+36.25+24017.28</f>
        <v>24142.62</v>
      </c>
      <c r="G41" s="54">
        <f t="shared" si="2"/>
        <v>0.85351261516662369</v>
      </c>
      <c r="H41" s="54">
        <f t="shared" ref="H41:H76" si="3">F41/E41</f>
        <v>0.67775587771511558</v>
      </c>
    </row>
    <row r="42" spans="1:9" x14ac:dyDescent="0.25">
      <c r="B42" s="18" t="s">
        <v>179</v>
      </c>
      <c r="C42" s="91" t="s">
        <v>165</v>
      </c>
      <c r="D42" s="54">
        <f>12246911.75/7.5345</f>
        <v>1625444.5218660827</v>
      </c>
      <c r="E42" s="54">
        <v>2092663.29</v>
      </c>
      <c r="F42" s="54">
        <f>1501448.48+21280.34+11806.8+77941.78+253641.16</f>
        <v>1866118.56</v>
      </c>
      <c r="G42" s="54">
        <f t="shared" si="2"/>
        <v>1.1480665964887027</v>
      </c>
      <c r="H42" s="54">
        <f t="shared" si="3"/>
        <v>0.89174334395668597</v>
      </c>
    </row>
    <row r="43" spans="1:9" x14ac:dyDescent="0.25">
      <c r="B43" s="18" t="s">
        <v>180</v>
      </c>
      <c r="C43" s="91" t="s">
        <v>163</v>
      </c>
      <c r="D43" s="54">
        <v>394312.18</v>
      </c>
      <c r="E43" s="54">
        <v>252322.45</v>
      </c>
      <c r="F43" s="54">
        <f>284549.99+3200.25+46948.21</f>
        <v>334698.45</v>
      </c>
      <c r="G43" s="54">
        <f t="shared" si="2"/>
        <v>0.84881590520485573</v>
      </c>
      <c r="H43" s="54">
        <f t="shared" si="3"/>
        <v>1.3264711483262785</v>
      </c>
    </row>
    <row r="44" spans="1:9" x14ac:dyDescent="0.25">
      <c r="B44" s="18" t="s">
        <v>181</v>
      </c>
      <c r="C44" s="91" t="s">
        <v>164</v>
      </c>
      <c r="D44" s="54">
        <v>0</v>
      </c>
      <c r="E44" s="54">
        <v>0</v>
      </c>
      <c r="F44" s="54">
        <f>3557.29</f>
        <v>3557.29</v>
      </c>
      <c r="G44" s="54">
        <v>0</v>
      </c>
      <c r="H44" s="54">
        <v>0</v>
      </c>
    </row>
    <row r="45" spans="1:9" x14ac:dyDescent="0.25">
      <c r="B45" s="87" t="s">
        <v>183</v>
      </c>
      <c r="C45" s="91"/>
      <c r="D45" s="62">
        <v>629262.19999999995</v>
      </c>
      <c r="E45" s="62">
        <f>SUM(E46:E51)</f>
        <v>1255059.99</v>
      </c>
      <c r="F45" s="62">
        <v>832748.51</v>
      </c>
      <c r="G45" s="54">
        <f t="shared" ref="G45:G75" si="4">F45/D45</f>
        <v>1.3233728483929277</v>
      </c>
      <c r="H45" s="54">
        <f t="shared" si="3"/>
        <v>0.66351291303613302</v>
      </c>
    </row>
    <row r="46" spans="1:9" x14ac:dyDescent="0.25">
      <c r="B46" s="18" t="s">
        <v>176</v>
      </c>
      <c r="C46" s="91" t="s">
        <v>175</v>
      </c>
      <c r="D46" s="54">
        <v>333036.71000000002</v>
      </c>
      <c r="E46" s="54">
        <v>331984.15999999997</v>
      </c>
      <c r="F46" s="54">
        <f>42195.77+901+25084.84+87505.91+8429.29+681.52+3339.51+1444.2+12418.19+987.46+4929+5296.66+2107.48+297.78+53.09+10+310.82+6356.22+6815.78+333+330.51+1139.66+100+530.88+327.19+1854.16+3.98+63.6+22.56+360.43+6763.52+37887.5</f>
        <v>258881.51000000007</v>
      </c>
      <c r="G46" s="54">
        <f t="shared" si="4"/>
        <v>0.77733625821609886</v>
      </c>
      <c r="H46" s="54">
        <f t="shared" si="3"/>
        <v>0.77980078929066998</v>
      </c>
    </row>
    <row r="47" spans="1:9" x14ac:dyDescent="0.25">
      <c r="B47" s="18" t="s">
        <v>177</v>
      </c>
      <c r="C47" s="91" t="s">
        <v>169</v>
      </c>
      <c r="D47" s="54">
        <v>81247.42</v>
      </c>
      <c r="E47" s="54">
        <v>177031.6</v>
      </c>
      <c r="F47" s="54">
        <f>9770.93+103+2447.28+8914.53+4314.14+8925.65+539.53+110.29+3245.7+2254.72+1334.5+1894.67+43.8+15826.08+836.94+389.17+341.87+111.72+19.29+5214.47+3066.92+1457.12</f>
        <v>71162.319999999992</v>
      </c>
      <c r="G47" s="54">
        <f t="shared" si="4"/>
        <v>0.87587175075836243</v>
      </c>
      <c r="H47" s="54">
        <f t="shared" si="3"/>
        <v>0.40197524057851813</v>
      </c>
    </row>
    <row r="48" spans="1:9" x14ac:dyDescent="0.25">
      <c r="B48" s="18" t="s">
        <v>179</v>
      </c>
      <c r="C48" s="91" t="s">
        <v>165</v>
      </c>
      <c r="D48" s="54">
        <v>20220.650000000001</v>
      </c>
      <c r="E48" s="54">
        <v>11614.41</v>
      </c>
      <c r="F48" s="54">
        <f>1132.58+476.32+4697.71</f>
        <v>6306.61</v>
      </c>
      <c r="G48" s="54">
        <f t="shared" si="4"/>
        <v>0.31188957822819735</v>
      </c>
      <c r="H48" s="54">
        <f t="shared" si="3"/>
        <v>0.54299874035788298</v>
      </c>
    </row>
    <row r="49" spans="2:9" x14ac:dyDescent="0.25">
      <c r="B49" s="18" t="s">
        <v>181</v>
      </c>
      <c r="C49" s="91" t="s">
        <v>164</v>
      </c>
      <c r="D49" s="54">
        <v>8650.16</v>
      </c>
      <c r="E49" s="54">
        <v>9423.32</v>
      </c>
      <c r="F49" s="54">
        <f>223.11+204.7+412.7+119.5+476.02+261.14+1091</f>
        <v>2788.17</v>
      </c>
      <c r="G49" s="54">
        <f t="shared" si="4"/>
        <v>0.32232582981124047</v>
      </c>
      <c r="H49" s="54">
        <f t="shared" si="3"/>
        <v>0.29587979608036236</v>
      </c>
    </row>
    <row r="50" spans="2:9" x14ac:dyDescent="0.25">
      <c r="B50" s="18" t="s">
        <v>180</v>
      </c>
      <c r="C50" s="91" t="s">
        <v>163</v>
      </c>
      <c r="D50" s="54">
        <v>235234.53</v>
      </c>
      <c r="E50" s="54">
        <v>723679.27</v>
      </c>
      <c r="F50" s="54">
        <f>16344.31+39840.8+25022.29+6054.87+3188.55+4554.4+55781+170136.82+19081.16+0.17</f>
        <v>340004.36999999994</v>
      </c>
      <c r="G50" s="54">
        <f t="shared" si="4"/>
        <v>1.4453846125396639</v>
      </c>
      <c r="H50" s="54">
        <f t="shared" si="3"/>
        <v>0.46982742783277448</v>
      </c>
    </row>
    <row r="51" spans="2:9" x14ac:dyDescent="0.25">
      <c r="B51" s="18" t="s">
        <v>182</v>
      </c>
      <c r="C51" s="91" t="s">
        <v>170</v>
      </c>
      <c r="D51" s="54">
        <v>265.45</v>
      </c>
      <c r="E51" s="54">
        <v>1327.23</v>
      </c>
      <c r="F51" s="54">
        <f>2281.39+3800.12+2013.96+331.13+603.09+238.91+1058.73+804.29</f>
        <v>11131.619999999999</v>
      </c>
      <c r="G51" s="54">
        <f t="shared" si="4"/>
        <v>41.934902994914296</v>
      </c>
      <c r="H51" s="54">
        <f t="shared" si="3"/>
        <v>8.3871069822110709</v>
      </c>
    </row>
    <row r="52" spans="2:9" x14ac:dyDescent="0.25">
      <c r="B52" s="88" t="s">
        <v>184</v>
      </c>
      <c r="C52" s="93"/>
      <c r="D52" s="62">
        <v>8853.49</v>
      </c>
      <c r="E52" s="62">
        <f>SUM(E53:E55)</f>
        <v>7123.5599999999995</v>
      </c>
      <c r="F52" s="62">
        <f>SUM(F53:F56)</f>
        <v>2599.12</v>
      </c>
      <c r="G52" s="54">
        <f t="shared" si="4"/>
        <v>0.29357010625188484</v>
      </c>
      <c r="H52" s="54">
        <f t="shared" si="3"/>
        <v>0.36486251256394275</v>
      </c>
    </row>
    <row r="53" spans="2:9" x14ac:dyDescent="0.25">
      <c r="B53" s="18" t="s">
        <v>176</v>
      </c>
      <c r="C53" s="91" t="s">
        <v>175</v>
      </c>
      <c r="D53" s="54">
        <f>10326.76/7.5345</f>
        <v>1370.5965890238238</v>
      </c>
      <c r="E53" s="54">
        <v>1061.78</v>
      </c>
      <c r="F53" s="54">
        <v>1061.78</v>
      </c>
      <c r="G53" s="54">
        <f t="shared" si="4"/>
        <v>0.77468454868710024</v>
      </c>
      <c r="H53" s="54">
        <f t="shared" si="3"/>
        <v>1</v>
      </c>
    </row>
    <row r="54" spans="2:9" x14ac:dyDescent="0.25">
      <c r="B54" s="18" t="s">
        <v>177</v>
      </c>
      <c r="C54" s="91" t="s">
        <v>169</v>
      </c>
      <c r="D54" s="54">
        <f>4981.16/7.5345</f>
        <v>661.11354436259865</v>
      </c>
      <c r="E54" s="54">
        <v>1061.78</v>
      </c>
      <c r="F54" s="54">
        <f>1537.34</f>
        <v>1537.34</v>
      </c>
      <c r="G54" s="54">
        <f t="shared" si="4"/>
        <v>2.3253796766215098</v>
      </c>
      <c r="H54" s="54">
        <f t="shared" si="3"/>
        <v>1.4478893932829775</v>
      </c>
    </row>
    <row r="55" spans="2:9" x14ac:dyDescent="0.25">
      <c r="B55" s="18" t="s">
        <v>179</v>
      </c>
      <c r="C55" s="91" t="s">
        <v>165</v>
      </c>
      <c r="D55" s="54">
        <f>50861.62/7.5345</f>
        <v>6750.4970469175123</v>
      </c>
      <c r="E55" s="54">
        <v>5000</v>
      </c>
      <c r="F55" s="54">
        <v>0</v>
      </c>
      <c r="G55" s="54">
        <f t="shared" si="4"/>
        <v>0</v>
      </c>
      <c r="H55" s="54">
        <f t="shared" si="3"/>
        <v>0</v>
      </c>
    </row>
    <row r="56" spans="2:9" x14ac:dyDescent="0.25">
      <c r="B56" s="18" t="s">
        <v>180</v>
      </c>
      <c r="C56" s="91" t="s">
        <v>163</v>
      </c>
      <c r="D56" s="54">
        <f>69.62/7.5345</f>
        <v>9.2401619218262656</v>
      </c>
      <c r="E56" s="54">
        <v>0</v>
      </c>
      <c r="F56" s="54">
        <v>0</v>
      </c>
      <c r="G56" s="54">
        <f t="shared" si="4"/>
        <v>0</v>
      </c>
      <c r="H56" s="54">
        <v>0</v>
      </c>
    </row>
    <row r="57" spans="2:9" x14ac:dyDescent="0.25">
      <c r="B57" s="88" t="s">
        <v>217</v>
      </c>
      <c r="C57" s="91" t="s">
        <v>163</v>
      </c>
      <c r="D57" s="62">
        <f>361831.26/7.5345</f>
        <v>48023.260999402744</v>
      </c>
      <c r="E57" s="54">
        <v>0</v>
      </c>
      <c r="F57" s="62">
        <v>42062.04</v>
      </c>
      <c r="G57" s="54">
        <f t="shared" si="4"/>
        <v>0.87586805070407692</v>
      </c>
      <c r="H57" s="54">
        <v>0</v>
      </c>
    </row>
    <row r="58" spans="2:9" x14ac:dyDescent="0.25">
      <c r="B58" s="9" t="s">
        <v>185</v>
      </c>
      <c r="C58" s="93"/>
      <c r="D58" s="103">
        <f>D59+D60</f>
        <v>835917.89</v>
      </c>
      <c r="E58" s="103">
        <f>E59+E60</f>
        <v>143050.27000000002</v>
      </c>
      <c r="F58" s="103">
        <v>2968036.49</v>
      </c>
      <c r="G58" s="104">
        <f t="shared" si="4"/>
        <v>3.5506316176580457</v>
      </c>
      <c r="H58" s="54">
        <f t="shared" si="3"/>
        <v>20.748206137604633</v>
      </c>
    </row>
    <row r="59" spans="2:9" x14ac:dyDescent="0.25">
      <c r="B59" s="18" t="s">
        <v>180</v>
      </c>
      <c r="C59" s="91" t="s">
        <v>163</v>
      </c>
      <c r="D59" s="104">
        <v>810607.67</v>
      </c>
      <c r="E59" s="104">
        <v>133759.67000000001</v>
      </c>
      <c r="F59" s="104">
        <f>F58-F60</f>
        <v>2960837.24</v>
      </c>
      <c r="G59" s="104">
        <f t="shared" si="4"/>
        <v>3.6526143898934489</v>
      </c>
      <c r="H59" s="54">
        <f t="shared" si="3"/>
        <v>22.135500483815488</v>
      </c>
    </row>
    <row r="60" spans="2:9" x14ac:dyDescent="0.25">
      <c r="B60" s="18" t="s">
        <v>182</v>
      </c>
      <c r="C60" s="91" t="s">
        <v>170</v>
      </c>
      <c r="D60" s="104">
        <v>25310.22</v>
      </c>
      <c r="E60" s="104">
        <v>9290.6</v>
      </c>
      <c r="F60" s="104">
        <v>7199.25</v>
      </c>
      <c r="G60" s="104">
        <f t="shared" si="4"/>
        <v>0.28444043552367382</v>
      </c>
      <c r="H60" s="54">
        <f t="shared" si="3"/>
        <v>0.77489613157384885</v>
      </c>
      <c r="I60" s="81"/>
    </row>
    <row r="61" spans="2:9" x14ac:dyDescent="0.25">
      <c r="B61" s="9" t="s">
        <v>189</v>
      </c>
      <c r="C61" s="93"/>
      <c r="D61" s="103">
        <v>3067.78</v>
      </c>
      <c r="E61" s="103">
        <v>3981.68</v>
      </c>
      <c r="F61" s="104">
        <f>F63</f>
        <v>0</v>
      </c>
      <c r="G61" s="104">
        <f t="shared" si="4"/>
        <v>0</v>
      </c>
      <c r="H61" s="54">
        <f t="shared" si="3"/>
        <v>0</v>
      </c>
    </row>
    <row r="62" spans="2:9" x14ac:dyDescent="0.25">
      <c r="B62" s="9" t="s">
        <v>190</v>
      </c>
      <c r="C62" s="93"/>
      <c r="D62" s="103"/>
      <c r="E62" s="103"/>
      <c r="F62" s="104"/>
      <c r="G62" s="104"/>
      <c r="H62" s="54"/>
    </row>
    <row r="63" spans="2:9" x14ac:dyDescent="0.25">
      <c r="B63" s="18" t="s">
        <v>191</v>
      </c>
      <c r="C63" s="94" t="s">
        <v>186</v>
      </c>
      <c r="D63" s="104">
        <v>3067.78</v>
      </c>
      <c r="E63" s="104">
        <v>3981.68</v>
      </c>
      <c r="F63" s="104">
        <v>0</v>
      </c>
      <c r="G63" s="104">
        <f t="shared" si="4"/>
        <v>0</v>
      </c>
      <c r="H63" s="54">
        <f t="shared" si="3"/>
        <v>0</v>
      </c>
    </row>
    <row r="64" spans="2:9" x14ac:dyDescent="0.25">
      <c r="B64" s="9" t="s">
        <v>218</v>
      </c>
      <c r="C64" s="94"/>
      <c r="D64" s="62">
        <f>1948029.69/7.5345</f>
        <v>258547.97133187336</v>
      </c>
      <c r="E64" s="104">
        <v>0</v>
      </c>
      <c r="F64" s="62">
        <v>264427.74</v>
      </c>
      <c r="G64" s="54">
        <f>F64/D64</f>
        <v>1.0227414999152298</v>
      </c>
      <c r="H64" s="54">
        <v>0</v>
      </c>
    </row>
    <row r="65" spans="2:10" x14ac:dyDescent="0.25">
      <c r="B65" s="18" t="s">
        <v>180</v>
      </c>
      <c r="C65" s="91" t="s">
        <v>163</v>
      </c>
      <c r="D65" s="54">
        <f>1948029.69/7.5345</f>
        <v>258547.97133187336</v>
      </c>
      <c r="E65" s="54">
        <v>0</v>
      </c>
      <c r="F65" s="54">
        <v>221386.33</v>
      </c>
      <c r="G65" s="54">
        <f t="shared" ref="G65" si="5">F65/D65</f>
        <v>0.8562679059501398</v>
      </c>
      <c r="H65" s="54">
        <v>0</v>
      </c>
    </row>
    <row r="66" spans="2:10" x14ac:dyDescent="0.25">
      <c r="B66" s="18" t="s">
        <v>181</v>
      </c>
      <c r="C66" s="94" t="s">
        <v>164</v>
      </c>
      <c r="D66" s="54">
        <v>0</v>
      </c>
      <c r="E66" s="54">
        <v>0</v>
      </c>
      <c r="F66" s="54">
        <v>43041.41</v>
      </c>
      <c r="G66" s="54">
        <v>0</v>
      </c>
      <c r="H66" s="54">
        <v>0</v>
      </c>
    </row>
    <row r="67" spans="2:10" x14ac:dyDescent="0.25">
      <c r="B67" s="88"/>
      <c r="C67" s="93"/>
      <c r="D67" s="62"/>
      <c r="E67" s="62"/>
      <c r="F67" s="62"/>
      <c r="G67" s="54"/>
      <c r="H67" s="54"/>
    </row>
    <row r="68" spans="2:10" x14ac:dyDescent="0.25">
      <c r="B68" s="88" t="s">
        <v>220</v>
      </c>
      <c r="C68" s="93"/>
      <c r="D68" s="62">
        <v>767552.86</v>
      </c>
      <c r="E68" s="62">
        <f>E70+E69+E77</f>
        <v>8129936.6799999997</v>
      </c>
      <c r="F68" s="62">
        <v>6272206.1799999997</v>
      </c>
      <c r="G68" s="54">
        <f t="shared" si="4"/>
        <v>8.1716928004150748</v>
      </c>
      <c r="H68" s="54">
        <f t="shared" si="3"/>
        <v>0.77149508377228837</v>
      </c>
      <c r="I68" s="90"/>
    </row>
    <row r="69" spans="2:10" x14ac:dyDescent="0.25">
      <c r="B69" s="88" t="s">
        <v>187</v>
      </c>
      <c r="C69" s="101" t="s">
        <v>163</v>
      </c>
      <c r="D69" s="62">
        <v>1141.6199999999999</v>
      </c>
      <c r="E69" s="62">
        <v>84942.62</v>
      </c>
      <c r="F69" s="62">
        <v>27659.599999999999</v>
      </c>
      <c r="G69" s="54">
        <f t="shared" si="4"/>
        <v>24.228377218338853</v>
      </c>
      <c r="H69" s="54">
        <f t="shared" si="3"/>
        <v>0.32562687611943214</v>
      </c>
    </row>
    <row r="70" spans="2:10" x14ac:dyDescent="0.25">
      <c r="B70" s="88" t="s">
        <v>188</v>
      </c>
      <c r="C70" s="93"/>
      <c r="D70" s="62">
        <f>D71+D72+D73+D74+D75+D76</f>
        <v>761440.59694206645</v>
      </c>
      <c r="E70" s="62">
        <f>SUM(E71:E76)</f>
        <v>3929084.6999999997</v>
      </c>
      <c r="F70" s="62">
        <v>6244546.5800000001</v>
      </c>
      <c r="G70" s="54">
        <f t="shared" si="4"/>
        <v>8.2009635486707726</v>
      </c>
      <c r="H70" s="54">
        <f t="shared" si="3"/>
        <v>1.5893133024085737</v>
      </c>
    </row>
    <row r="71" spans="2:10" x14ac:dyDescent="0.25">
      <c r="B71" s="18" t="s">
        <v>176</v>
      </c>
      <c r="C71" s="91" t="s">
        <v>175</v>
      </c>
      <c r="D71" s="54">
        <f>314201.75/7.5345</f>
        <v>41701.738668790233</v>
      </c>
      <c r="E71" s="54">
        <v>30617.82</v>
      </c>
      <c r="F71" s="54">
        <f>27891.16+252.04+600</f>
        <v>28743.200000000001</v>
      </c>
      <c r="G71" s="54">
        <f>F71/D71</f>
        <v>0.68925663335738896</v>
      </c>
      <c r="H71" s="54">
        <f t="shared" si="3"/>
        <v>0.93877356389187738</v>
      </c>
    </row>
    <row r="72" spans="2:10" x14ac:dyDescent="0.25">
      <c r="B72" s="18" t="s">
        <v>177</v>
      </c>
      <c r="C72" s="91" t="s">
        <v>169</v>
      </c>
      <c r="D72" s="54">
        <f>152457.43/7.5345</f>
        <v>20234.57827327626</v>
      </c>
      <c r="E72" s="54">
        <v>14201.34</v>
      </c>
      <c r="F72" s="54">
        <f>3844.63+606.37+2175.27+136.34</f>
        <v>6762.6100000000006</v>
      </c>
      <c r="G72" s="54">
        <f t="shared" si="4"/>
        <v>0.33421057304324236</v>
      </c>
      <c r="H72" s="54">
        <f t="shared" si="3"/>
        <v>0.47619520411454136</v>
      </c>
      <c r="I72" s="90"/>
      <c r="J72" s="90"/>
    </row>
    <row r="73" spans="2:10" x14ac:dyDescent="0.25">
      <c r="B73" s="18" t="s">
        <v>179</v>
      </c>
      <c r="C73" s="91" t="s">
        <v>165</v>
      </c>
      <c r="D73" s="54">
        <v>1353.3</v>
      </c>
      <c r="E73" s="54">
        <v>3318.07</v>
      </c>
      <c r="F73" s="54">
        <f>843.31</f>
        <v>843.31</v>
      </c>
      <c r="G73" s="54">
        <f t="shared" si="4"/>
        <v>0.62315081652257442</v>
      </c>
      <c r="H73" s="54">
        <f t="shared" si="3"/>
        <v>0.25415678391354007</v>
      </c>
    </row>
    <row r="74" spans="2:10" x14ac:dyDescent="0.25">
      <c r="B74" s="18" t="s">
        <v>181</v>
      </c>
      <c r="C74" s="91" t="s">
        <v>164</v>
      </c>
      <c r="D74" s="54">
        <v>0</v>
      </c>
      <c r="E74" s="54">
        <v>4154.46</v>
      </c>
      <c r="F74" s="54">
        <v>0</v>
      </c>
      <c r="G74" s="54">
        <v>0</v>
      </c>
      <c r="H74" s="54">
        <f t="shared" si="3"/>
        <v>0</v>
      </c>
    </row>
    <row r="75" spans="2:10" x14ac:dyDescent="0.25">
      <c r="B75" s="18" t="s">
        <v>180</v>
      </c>
      <c r="C75" s="91" t="s">
        <v>163</v>
      </c>
      <c r="D75" s="54">
        <v>698150.98</v>
      </c>
      <c r="E75" s="54">
        <v>3836976.17</v>
      </c>
      <c r="F75" s="54">
        <f>1554922.71+1918167.6+476667.07+23461.5</f>
        <v>3973218.88</v>
      </c>
      <c r="G75" s="54">
        <f t="shared" si="4"/>
        <v>5.6910596616221891</v>
      </c>
      <c r="H75" s="54">
        <f t="shared" si="3"/>
        <v>1.0355078332425505</v>
      </c>
    </row>
    <row r="76" spans="2:10" x14ac:dyDescent="0.25">
      <c r="B76" s="18" t="s">
        <v>182</v>
      </c>
      <c r="C76" s="91" t="s">
        <v>170</v>
      </c>
      <c r="D76" s="54">
        <v>0</v>
      </c>
      <c r="E76" s="54">
        <v>39816.839999999997</v>
      </c>
      <c r="F76" s="54">
        <v>0</v>
      </c>
      <c r="G76" s="54">
        <v>0</v>
      </c>
      <c r="H76" s="54">
        <f t="shared" si="3"/>
        <v>0</v>
      </c>
    </row>
    <row r="77" spans="2:10" x14ac:dyDescent="0.25">
      <c r="B77" s="88" t="s">
        <v>219</v>
      </c>
      <c r="C77" s="67" t="s">
        <v>163</v>
      </c>
      <c r="D77" s="62">
        <v>4970.6400000000003</v>
      </c>
      <c r="E77" s="62">
        <v>4115909.36</v>
      </c>
      <c r="F77" s="54">
        <v>0</v>
      </c>
      <c r="G77" s="54">
        <v>0</v>
      </c>
      <c r="H77" s="54">
        <f>F77/E77</f>
        <v>0</v>
      </c>
    </row>
    <row r="78" spans="2:10" x14ac:dyDescent="0.25">
      <c r="B78" s="106"/>
      <c r="C78" s="61"/>
      <c r="D78" s="61"/>
      <c r="E78" s="61"/>
      <c r="F78" s="61"/>
      <c r="G78" s="61"/>
      <c r="H78" s="61"/>
    </row>
    <row r="79" spans="2:10" x14ac:dyDescent="0.25">
      <c r="B79" s="106"/>
      <c r="C79" s="61"/>
      <c r="D79" s="107"/>
      <c r="E79" s="107"/>
      <c r="F79" s="61"/>
      <c r="G79" s="61"/>
      <c r="H79" s="61"/>
    </row>
    <row r="80" spans="2:10" x14ac:dyDescent="0.25">
      <c r="B80" s="106"/>
      <c r="C80" s="61"/>
      <c r="D80" s="107"/>
      <c r="E80" s="61"/>
      <c r="F80" s="61"/>
      <c r="G80" s="61"/>
      <c r="H80" s="61"/>
    </row>
    <row r="81" spans="2:10" ht="15" customHeight="1" x14ac:dyDescent="0.25">
      <c r="B81" s="26"/>
      <c r="C81" s="26"/>
      <c r="D81" s="105"/>
      <c r="E81" s="26"/>
      <c r="F81" s="26"/>
      <c r="G81" s="26"/>
      <c r="H81" s="26"/>
      <c r="I81" s="26"/>
      <c r="J81" s="26"/>
    </row>
    <row r="82" spans="2:10" x14ac:dyDescent="0.25">
      <c r="B82" s="26"/>
      <c r="C82" s="26"/>
      <c r="D82" s="100"/>
      <c r="E82" s="105"/>
      <c r="F82" s="26"/>
      <c r="G82" s="26"/>
      <c r="H82" s="26"/>
      <c r="I82" s="26"/>
      <c r="J82" s="26"/>
    </row>
    <row r="83" spans="2:10" x14ac:dyDescent="0.25">
      <c r="B83" s="26"/>
      <c r="C83" s="26"/>
      <c r="D83" s="99"/>
      <c r="E83" s="26"/>
      <c r="F83" s="26"/>
      <c r="G83" s="26"/>
      <c r="H83" s="26"/>
      <c r="I83" s="26"/>
      <c r="J83" s="26"/>
    </row>
  </sheetData>
  <mergeCells count="8">
    <mergeCell ref="H36:H37"/>
    <mergeCell ref="B2:G2"/>
    <mergeCell ref="B36:B37"/>
    <mergeCell ref="D36:D37"/>
    <mergeCell ref="E36:E37"/>
    <mergeCell ref="F36:F37"/>
    <mergeCell ref="G36:G37"/>
    <mergeCell ref="C36:C37"/>
  </mergeCells>
  <pageMargins left="0.7" right="0.7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29"/>
  <sheetViews>
    <sheetView workbookViewId="0"/>
  </sheetViews>
  <sheetFormatPr defaultRowHeight="15" x14ac:dyDescent="0.25"/>
  <cols>
    <col min="2" max="2" width="50.28515625" customWidth="1"/>
    <col min="3" max="5" width="25.28515625" customWidth="1"/>
    <col min="6" max="7" width="15.7109375" customWidth="1"/>
  </cols>
  <sheetData>
    <row r="1" spans="2:7" ht="18" x14ac:dyDescent="0.25">
      <c r="B1" s="13"/>
      <c r="C1" s="13"/>
      <c r="D1" s="13"/>
      <c r="E1" s="4"/>
      <c r="F1" s="4"/>
      <c r="G1" s="4"/>
    </row>
    <row r="2" spans="2:7" ht="15.75" customHeight="1" x14ac:dyDescent="0.25">
      <c r="B2" s="111" t="s">
        <v>31</v>
      </c>
      <c r="C2" s="111"/>
      <c r="D2" s="111"/>
      <c r="E2" s="111"/>
      <c r="F2" s="111"/>
    </row>
    <row r="3" spans="2:7" ht="18" x14ac:dyDescent="0.25">
      <c r="B3" s="40"/>
      <c r="C3" s="40"/>
      <c r="D3" s="40"/>
      <c r="E3" s="41"/>
      <c r="F3" s="41"/>
      <c r="G3" s="41"/>
    </row>
    <row r="4" spans="2:7" ht="25.5" x14ac:dyDescent="0.25">
      <c r="B4" s="31" t="s">
        <v>8</v>
      </c>
      <c r="C4" s="31" t="s">
        <v>49</v>
      </c>
      <c r="D4" s="31" t="s">
        <v>43</v>
      </c>
      <c r="E4" s="31" t="s">
        <v>50</v>
      </c>
      <c r="F4" s="31" t="s">
        <v>14</v>
      </c>
      <c r="G4" s="31" t="s">
        <v>14</v>
      </c>
    </row>
    <row r="5" spans="2:7" x14ac:dyDescent="0.25">
      <c r="B5" s="33">
        <v>1</v>
      </c>
      <c r="C5" s="33">
        <v>2</v>
      </c>
      <c r="D5" s="33">
        <v>3</v>
      </c>
      <c r="E5" s="33">
        <v>5</v>
      </c>
      <c r="F5" s="33" t="s">
        <v>28</v>
      </c>
      <c r="G5" s="33" t="s">
        <v>229</v>
      </c>
    </row>
    <row r="6" spans="2:7" ht="15.75" customHeight="1" x14ac:dyDescent="0.25">
      <c r="B6" s="6" t="s">
        <v>32</v>
      </c>
      <c r="C6" s="69">
        <v>5231244.1900000004</v>
      </c>
      <c r="D6" s="69">
        <v>11944187.140000001</v>
      </c>
      <c r="E6" s="69">
        <v>12117662.890000001</v>
      </c>
      <c r="F6" s="96">
        <f>E6/C6</f>
        <v>2.3164016914301224</v>
      </c>
      <c r="G6" s="96">
        <f>E6/D6</f>
        <v>1.0145238640324921</v>
      </c>
    </row>
    <row r="7" spans="2:7" ht="15.75" customHeight="1" x14ac:dyDescent="0.25">
      <c r="B7" s="6" t="s">
        <v>9</v>
      </c>
      <c r="C7" s="69">
        <f>C8+C10</f>
        <v>2453330.66</v>
      </c>
      <c r="D7" s="69">
        <v>9253663.3000000007</v>
      </c>
      <c r="E7" s="69">
        <v>9583119.4800000004</v>
      </c>
      <c r="F7" s="96">
        <f>E7/C7</f>
        <v>3.9061670879701147</v>
      </c>
      <c r="G7" s="96">
        <f>E7/D7</f>
        <v>1.0356027844669904</v>
      </c>
    </row>
    <row r="8" spans="2:7" x14ac:dyDescent="0.25">
      <c r="B8" s="95" t="s">
        <v>192</v>
      </c>
      <c r="C8" s="53">
        <v>2784.24</v>
      </c>
      <c r="D8" s="53">
        <v>3981.68</v>
      </c>
      <c r="E8" s="53">
        <v>0</v>
      </c>
      <c r="F8" s="96" t="s">
        <v>55</v>
      </c>
      <c r="G8" s="96" t="s">
        <v>55</v>
      </c>
    </row>
    <row r="9" spans="2:7" x14ac:dyDescent="0.25">
      <c r="B9" s="95" t="s">
        <v>193</v>
      </c>
      <c r="C9" s="53">
        <v>2784.24</v>
      </c>
      <c r="D9" s="53">
        <v>3981.68</v>
      </c>
      <c r="E9" s="53">
        <v>0</v>
      </c>
      <c r="F9" s="96" t="s">
        <v>55</v>
      </c>
      <c r="G9" s="96" t="s">
        <v>55</v>
      </c>
    </row>
    <row r="10" spans="2:7" x14ac:dyDescent="0.25">
      <c r="B10" s="12" t="s">
        <v>194</v>
      </c>
      <c r="C10" s="53">
        <v>2450546.42</v>
      </c>
      <c r="D10" s="53">
        <v>9249681.6199999992</v>
      </c>
      <c r="E10" s="53">
        <v>9583119.4800000004</v>
      </c>
      <c r="F10" s="96">
        <f>E10/C10</f>
        <v>3.910605162092788</v>
      </c>
      <c r="G10" s="96">
        <f t="shared" ref="G10:G23" si="0">E10/D10</f>
        <v>1.0360485769887506</v>
      </c>
    </row>
    <row r="11" spans="2:7" x14ac:dyDescent="0.25">
      <c r="B11" s="12" t="s">
        <v>195</v>
      </c>
      <c r="C11" s="53">
        <v>2450546.42</v>
      </c>
      <c r="D11" s="53">
        <v>9249681.6199999992</v>
      </c>
      <c r="E11" s="53">
        <v>9583119.4800000004</v>
      </c>
      <c r="F11" s="96">
        <f>E11/C11</f>
        <v>3.910605162092788</v>
      </c>
      <c r="G11" s="96">
        <f t="shared" si="0"/>
        <v>1.0360485769887506</v>
      </c>
    </row>
    <row r="12" spans="2:7" ht="13.5" customHeight="1" x14ac:dyDescent="0.25">
      <c r="B12" s="9" t="s">
        <v>196</v>
      </c>
      <c r="C12" s="69">
        <v>8039.6841197159729</v>
      </c>
      <c r="D12" s="69">
        <v>5096.5600000000004</v>
      </c>
      <c r="E12" s="69">
        <v>4929</v>
      </c>
      <c r="F12" s="96">
        <f>E12/C12</f>
        <v>0.61308378869170455</v>
      </c>
      <c r="G12" s="96">
        <f t="shared" si="0"/>
        <v>0.96712292212786655</v>
      </c>
    </row>
    <row r="13" spans="2:7" ht="13.5" customHeight="1" x14ac:dyDescent="0.25">
      <c r="B13" s="11" t="s">
        <v>197</v>
      </c>
      <c r="C13" s="53">
        <v>8039.6841197159729</v>
      </c>
      <c r="D13" s="53">
        <v>5096.5600000000004</v>
      </c>
      <c r="E13" s="53">
        <v>4929</v>
      </c>
      <c r="F13" s="96">
        <f t="shared" ref="F13:F23" si="1">E13/C13</f>
        <v>0.61308378869170455</v>
      </c>
      <c r="G13" s="96">
        <f t="shared" si="0"/>
        <v>0.96712292212786655</v>
      </c>
    </row>
    <row r="14" spans="2:7" x14ac:dyDescent="0.25">
      <c r="B14" s="11" t="s">
        <v>198</v>
      </c>
      <c r="C14" s="53">
        <v>8039.6841197159729</v>
      </c>
      <c r="D14" s="53">
        <v>5096.5600000000004</v>
      </c>
      <c r="E14" s="53">
        <v>4929</v>
      </c>
      <c r="F14" s="96">
        <f t="shared" si="1"/>
        <v>0.61308378869170455</v>
      </c>
      <c r="G14" s="96">
        <f t="shared" si="0"/>
        <v>0.96712292212786655</v>
      </c>
    </row>
    <row r="15" spans="2:7" x14ac:dyDescent="0.25">
      <c r="B15" s="6" t="s">
        <v>199</v>
      </c>
      <c r="C15" s="69">
        <f>C6-C7-C12</f>
        <v>2769873.8458802844</v>
      </c>
      <c r="D15" s="69">
        <v>2685427.28</v>
      </c>
      <c r="E15" s="69">
        <v>2529614.4100000006</v>
      </c>
      <c r="F15" s="96">
        <f t="shared" si="1"/>
        <v>0.91325979114982847</v>
      </c>
      <c r="G15" s="96">
        <f t="shared" si="0"/>
        <v>0.9419783692671807</v>
      </c>
    </row>
    <row r="16" spans="2:7" x14ac:dyDescent="0.25">
      <c r="B16" s="11" t="s">
        <v>200</v>
      </c>
      <c r="C16" s="53">
        <v>2583420.8000000003</v>
      </c>
      <c r="D16" s="53">
        <v>2491478.86</v>
      </c>
      <c r="E16" s="53">
        <v>2364467.2400000002</v>
      </c>
      <c r="F16" s="96">
        <f t="shared" si="1"/>
        <v>0.91524665281010353</v>
      </c>
      <c r="G16" s="96">
        <f t="shared" si="0"/>
        <v>0.94902159434738309</v>
      </c>
    </row>
    <row r="17" spans="2:7" x14ac:dyDescent="0.25">
      <c r="B17" s="11" t="s">
        <v>201</v>
      </c>
      <c r="C17" s="53">
        <v>2583420.8000000003</v>
      </c>
      <c r="D17" s="53">
        <v>2491478.86</v>
      </c>
      <c r="E17" s="53">
        <v>2364467.2400000002</v>
      </c>
      <c r="F17" s="96">
        <f t="shared" si="1"/>
        <v>0.91524665281010353</v>
      </c>
      <c r="G17" s="96">
        <f t="shared" si="0"/>
        <v>0.94902159434738309</v>
      </c>
    </row>
    <row r="18" spans="2:7" x14ac:dyDescent="0.25">
      <c r="B18" s="11" t="s">
        <v>202</v>
      </c>
      <c r="C18" s="53">
        <v>331.81</v>
      </c>
      <c r="D18" s="53">
        <v>331.81</v>
      </c>
      <c r="E18" s="53">
        <v>331.81</v>
      </c>
      <c r="F18" s="96">
        <f t="shared" si="1"/>
        <v>1</v>
      </c>
      <c r="G18" s="96">
        <f t="shared" si="0"/>
        <v>1</v>
      </c>
    </row>
    <row r="19" spans="2:7" x14ac:dyDescent="0.25">
      <c r="B19" s="11" t="s">
        <v>203</v>
      </c>
      <c r="C19" s="53">
        <v>331.81</v>
      </c>
      <c r="D19" s="53">
        <v>331.81</v>
      </c>
      <c r="E19" s="53">
        <v>331.81</v>
      </c>
      <c r="F19" s="96">
        <f t="shared" si="1"/>
        <v>1</v>
      </c>
      <c r="G19" s="96">
        <f t="shared" si="0"/>
        <v>1</v>
      </c>
    </row>
    <row r="20" spans="2:7" x14ac:dyDescent="0.25">
      <c r="B20" s="11" t="s">
        <v>204</v>
      </c>
      <c r="C20" s="53">
        <v>69975.5</v>
      </c>
      <c r="D20" s="53">
        <v>72935.63</v>
      </c>
      <c r="E20" s="53">
        <v>57231.14</v>
      </c>
      <c r="F20" s="96">
        <f t="shared" si="1"/>
        <v>0.81787397017527563</v>
      </c>
      <c r="G20" s="96">
        <f t="shared" si="0"/>
        <v>0.78468013507252898</v>
      </c>
    </row>
    <row r="21" spans="2:7" x14ac:dyDescent="0.25">
      <c r="B21" s="11" t="s">
        <v>205</v>
      </c>
      <c r="C21" s="53">
        <v>69975.5</v>
      </c>
      <c r="D21" s="53">
        <v>72935.63</v>
      </c>
      <c r="E21" s="53">
        <v>57231.14</v>
      </c>
      <c r="F21" s="96">
        <f t="shared" si="1"/>
        <v>0.81787397017527563</v>
      </c>
      <c r="G21" s="96">
        <f t="shared" si="0"/>
        <v>0.78468013507252898</v>
      </c>
    </row>
    <row r="22" spans="2:7" x14ac:dyDescent="0.25">
      <c r="B22" s="11" t="s">
        <v>206</v>
      </c>
      <c r="C22" s="53">
        <v>116145.74</v>
      </c>
      <c r="D22" s="53">
        <v>120680.98</v>
      </c>
      <c r="E22" s="53">
        <v>107584.22</v>
      </c>
      <c r="F22" s="96">
        <f t="shared" si="1"/>
        <v>0.9262864053386719</v>
      </c>
      <c r="G22" s="96">
        <f t="shared" si="0"/>
        <v>0.89147618787981342</v>
      </c>
    </row>
    <row r="23" spans="2:7" x14ac:dyDescent="0.25">
      <c r="B23" s="11" t="s">
        <v>207</v>
      </c>
      <c r="C23" s="53">
        <v>116145.74</v>
      </c>
      <c r="D23" s="53">
        <v>120680.98</v>
      </c>
      <c r="E23" s="53">
        <v>107584.22</v>
      </c>
      <c r="F23" s="96">
        <f t="shared" si="1"/>
        <v>0.9262864053386719</v>
      </c>
      <c r="G23" s="96">
        <f t="shared" si="0"/>
        <v>0.89147618787981342</v>
      </c>
    </row>
    <row r="25" spans="2:7" x14ac:dyDescent="0.25">
      <c r="C25" s="81"/>
    </row>
    <row r="26" spans="2:7" x14ac:dyDescent="0.25">
      <c r="C26" s="81"/>
      <c r="E26" s="81"/>
    </row>
    <row r="27" spans="2:7" x14ac:dyDescent="0.25">
      <c r="C27" s="81"/>
      <c r="D27" s="81"/>
      <c r="E27" s="81"/>
    </row>
    <row r="28" spans="2:7" x14ac:dyDescent="0.25">
      <c r="C28" s="81"/>
      <c r="D28" s="81"/>
      <c r="E28" s="81"/>
    </row>
    <row r="29" spans="2:7" x14ac:dyDescent="0.25">
      <c r="E29" s="81"/>
    </row>
  </sheetData>
  <mergeCells count="1">
    <mergeCell ref="B2:F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SAŽETAK</vt:lpstr>
      <vt:lpstr> Račun prihoda i rashoda</vt:lpstr>
      <vt:lpstr>Rashodi prema izvorima finan</vt:lpstr>
      <vt:lpstr>Rashodi prema funkcijskoj k 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2024-03-27T10:37:30Z</cp:lastPrinted>
  <dcterms:created xsi:type="dcterms:W3CDTF">2022-08-12T12:51:27Z</dcterms:created>
  <dcterms:modified xsi:type="dcterms:W3CDTF">2024-04-04T08:30:33Z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